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Guillaume Guenael\Documents\Novogen\Production\Following CS file\"/>
    </mc:Choice>
  </mc:AlternateContent>
  <workbookProtection workbookPassword="CECC" lockStructure="1"/>
  <bookViews>
    <workbookView xWindow="0" yWindow="0" windowWidth="28800" windowHeight="12435" firstSheet="5" activeTab="10"/>
  </bookViews>
  <sheets>
    <sheet name="Calcul pour synthèse" sheetId="66" state="hidden" r:id="rId1"/>
    <sheet name="How to use" sheetId="55" r:id="rId2"/>
    <sheet name="Data" sheetId="15" r:id="rId3"/>
    <sheet name="Traduction" sheetId="65" state="hidden" r:id="rId4"/>
    <sheet name="Titre graphique" sheetId="72" state="hidden" r:id="rId5"/>
    <sheet name="Growing data-Input" sheetId="38" r:id="rId6"/>
    <sheet name="Rearing Data-Table" sheetId="9" r:id="rId7"/>
    <sheet name="Growing curve" sheetId="59" r:id="rId8"/>
    <sheet name="Production Data-Daily Input" sheetId="28" r:id="rId9"/>
    <sheet name="Production Data-Weekly input" sheetId="49" r:id="rId10"/>
    <sheet name="Production Data-Table" sheetId="27" r:id="rId11"/>
    <sheet name="Production graph" sheetId="64" r:id="rId12"/>
    <sheet name="Second eggs graph" sheetId="42" r:id="rId13"/>
    <sheet name="Eggmass graph" sheetId="44" r:id="rId14"/>
    <sheet name="Synthesis" sheetId="50" r:id="rId15"/>
    <sheet name="DG Rearing" sheetId="67" state="hidden" r:id="rId16"/>
    <sheet name="DG Prod" sheetId="40" state="hidden" r:id="rId17"/>
    <sheet name="Standard" sheetId="63" state="hidden" r:id="rId18"/>
    <sheet name="Standard NW Cl Ca" sheetId="71" state="hidden" r:id="rId19"/>
    <sheet name="Standard NW Li Ca" sheetId="68" state="hidden" r:id="rId20"/>
    <sheet name="Standard NW Cl Alt" sheetId="69" state="hidden" r:id="rId21"/>
    <sheet name="Standard NW Li Alt" sheetId="70" state="hidden" r:id="rId22"/>
  </sheets>
  <externalReferences>
    <externalReference r:id="rId23"/>
    <externalReference r:id="rId24"/>
    <externalReference r:id="rId25"/>
    <externalReference r:id="rId26"/>
    <externalReference r:id="rId27"/>
  </externalReferences>
  <definedNames>
    <definedName name="\d">#N/A</definedName>
    <definedName name="__day56" localSheetId="18">#REF!</definedName>
    <definedName name="__day56" localSheetId="21">#REF!</definedName>
    <definedName name="__day56" localSheetId="19">#REF!</definedName>
    <definedName name="__day56">#REF!</definedName>
    <definedName name="__L">'[1]J1PROC-Females'!$A$16:$IV$16</definedName>
    <definedName name="_day56" localSheetId="16">#REF!</definedName>
    <definedName name="_day56" localSheetId="18">#REF!</definedName>
    <definedName name="_day56" localSheetId="21">#REF!</definedName>
    <definedName name="_day56" localSheetId="19">#REF!</definedName>
    <definedName name="_day56">#REF!</definedName>
    <definedName name="_Fill" localSheetId="16" hidden="1">'[2]Gp 3-Resorts-MASTER'!#REF!</definedName>
    <definedName name="_Fill" localSheetId="18" hidden="1">'[2]Gp 3-Resorts-MASTER'!#REF!</definedName>
    <definedName name="_Fill" localSheetId="21" hidden="1">'[2]Gp 3-Resorts-MASTER'!#REF!</definedName>
    <definedName name="_Fill" localSheetId="19" hidden="1">'[2]Gp 3-Resorts-MASTER'!#REF!</definedName>
    <definedName name="_Fill" hidden="1">'[2]Gp 3-Resorts-MASTER'!#REF!</definedName>
    <definedName name="_xlnm._FilterDatabase" localSheetId="8" hidden="1">'Production Data-Daily Input'!$A$12:$N$597</definedName>
    <definedName name="_L">'[1]J1PROC-Females'!$A$16:$IV$16</definedName>
    <definedName name="accum" localSheetId="16">#REF!</definedName>
    <definedName name="accum" localSheetId="18">#REF!</definedName>
    <definedName name="accum" localSheetId="21">#REF!</definedName>
    <definedName name="accum" localSheetId="19">#REF!</definedName>
    <definedName name="accum">#REF!</definedName>
    <definedName name="alm" localSheetId="18" hidden="1">'[2]Gp 3-Resorts-MASTER'!#REF!</definedName>
    <definedName name="alm" localSheetId="21" hidden="1">'[2]Gp 3-Resorts-MASTER'!#REF!</definedName>
    <definedName name="alm" localSheetId="19" hidden="1">'[2]Gp 3-Resorts-MASTER'!#REF!</definedName>
    <definedName name="alm" hidden="1">'[2]Gp 3-Resorts-MASTER'!#REF!</definedName>
    <definedName name="calcs">'[3]L-2 Proc @ 42 Days'!$A$92:$IV$94</definedName>
    <definedName name="_xlnm.Print_Titles" localSheetId="5">'Growing data-Input'!$15:$15</definedName>
    <definedName name="_xlnm.Print_Titles" localSheetId="8">'Production Data-Daily Input'!$1:$12</definedName>
    <definedName name="_xlnm.Print_Titles" localSheetId="10">'Production Data-Table'!$1:$13</definedName>
    <definedName name="parametres_semaine_debut_production">[4]Parametres!$B$5</definedName>
    <definedName name="print" localSheetId="16">#REF!</definedName>
    <definedName name="print" localSheetId="18">#REF!</definedName>
    <definedName name="print" localSheetId="21">#REF!</definedName>
    <definedName name="print" localSheetId="19">#REF!</definedName>
    <definedName name="print">#REF!</definedName>
    <definedName name="vacc">'[5]HH-Vaccination Record'!$A$1:$C$27</definedName>
    <definedName name="_xlnm.Print_Area" localSheetId="2">Data!$A$4:$F$53</definedName>
    <definedName name="_xlnm.Print_Area" localSheetId="5">'Growing data-Input'!$A$1:$H$142</definedName>
    <definedName name="_xlnm.Print_Area" localSheetId="9">'Production Data-Weekly input'!$A$1:$I$85</definedName>
    <definedName name="_xlnm.Print_Area" localSheetId="6">'Rearing Data-Table'!$A$1:$T$28</definedName>
    <definedName name="_xlnm.Print_Area" localSheetId="17">Standard!$A$1:$L$83</definedName>
    <definedName name="_xlnm.Print_Area" localSheetId="20">'Standard NW Cl Alt'!$A$1:$L$83</definedName>
    <definedName name="_xlnm.Print_Area" localSheetId="18">'Standard NW Cl Ca'!$A$1:$L$83</definedName>
    <definedName name="_xlnm.Print_Area" localSheetId="21">'Standard NW Li Alt'!$A$1:$L$83</definedName>
    <definedName name="_xlnm.Print_Area" localSheetId="19">'Standard NW Li Ca'!$A$1:$L$83</definedName>
  </definedNames>
  <calcPr calcId="152511"/>
</workbook>
</file>

<file path=xl/calcChain.xml><?xml version="1.0" encoding="utf-8"?>
<calcChain xmlns="http://schemas.openxmlformats.org/spreadsheetml/2006/main">
  <c r="H37" i="28" l="1"/>
  <c r="H21" i="28"/>
  <c r="V23" i="27"/>
  <c r="V22" i="27"/>
  <c r="V16" i="27"/>
  <c r="V17" i="27"/>
  <c r="V18" i="27"/>
  <c r="V19" i="27"/>
  <c r="V20" i="27"/>
  <c r="V21" i="27"/>
  <c r="V24" i="27"/>
  <c r="V25" i="27"/>
  <c r="V26" i="27"/>
  <c r="V27" i="27"/>
  <c r="V28" i="27"/>
  <c r="V29" i="27"/>
  <c r="V30" i="27"/>
  <c r="V31" i="27"/>
  <c r="V32" i="27"/>
  <c r="V33" i="27"/>
  <c r="V34" i="27"/>
  <c r="V35" i="27"/>
  <c r="V36" i="27"/>
  <c r="V37" i="27"/>
  <c r="V38" i="27"/>
  <c r="V39" i="27"/>
  <c r="V40" i="27"/>
  <c r="V41" i="27"/>
  <c r="V42" i="27"/>
  <c r="V43" i="27"/>
  <c r="V44" i="27"/>
  <c r="V45" i="27"/>
  <c r="V46" i="27"/>
  <c r="V47" i="27"/>
  <c r="V48" i="27"/>
  <c r="V49" i="27"/>
  <c r="V50" i="27"/>
  <c r="V51" i="27"/>
  <c r="V52" i="27"/>
  <c r="V53" i="27"/>
  <c r="V54" i="27"/>
  <c r="V55" i="27"/>
  <c r="V56" i="27"/>
  <c r="V57" i="27"/>
  <c r="V58" i="27"/>
  <c r="V59" i="27"/>
  <c r="V60" i="27"/>
  <c r="V61" i="27"/>
  <c r="V62" i="27"/>
  <c r="V63" i="27"/>
  <c r="V64" i="27"/>
  <c r="V65" i="27"/>
  <c r="V66" i="27"/>
  <c r="V67" i="27"/>
  <c r="V68" i="27"/>
  <c r="V69" i="27"/>
  <c r="V70" i="27"/>
  <c r="V71" i="27"/>
  <c r="V72" i="27"/>
  <c r="V73" i="27"/>
  <c r="V74" i="27"/>
  <c r="V75" i="27"/>
  <c r="V76" i="27"/>
  <c r="V77" i="27"/>
  <c r="V78" i="27"/>
  <c r="V79" i="27"/>
  <c r="V80" i="27"/>
  <c r="V81" i="27"/>
  <c r="V82" i="27"/>
  <c r="V83" i="27"/>
  <c r="V84" i="27"/>
  <c r="V85" i="27"/>
  <c r="V86" i="27"/>
  <c r="V87" i="27"/>
  <c r="V88" i="27"/>
  <c r="V15" i="27"/>
  <c r="H597" i="28"/>
  <c r="H589" i="28"/>
  <c r="H581" i="28"/>
  <c r="H573" i="28"/>
  <c r="H565" i="28"/>
  <c r="H557" i="28"/>
  <c r="H549" i="28"/>
  <c r="H541" i="28"/>
  <c r="H533" i="28"/>
  <c r="H525" i="28"/>
  <c r="H517" i="28"/>
  <c r="H509" i="28"/>
  <c r="H501" i="28"/>
  <c r="H493" i="28"/>
  <c r="H485" i="28"/>
  <c r="H477" i="28"/>
  <c r="H469" i="28"/>
  <c r="H461" i="28"/>
  <c r="H453" i="28"/>
  <c r="H445" i="28"/>
  <c r="H437" i="28"/>
  <c r="H429" i="28"/>
  <c r="H421" i="28"/>
  <c r="H413" i="28"/>
  <c r="H405" i="28"/>
  <c r="H397" i="28"/>
  <c r="H389" i="28"/>
  <c r="H381" i="28"/>
  <c r="H373" i="28"/>
  <c r="H365" i="28"/>
  <c r="H357" i="28"/>
  <c r="H349" i="28"/>
  <c r="H341" i="28"/>
  <c r="H333" i="28"/>
  <c r="H325" i="28"/>
  <c r="H317" i="28"/>
  <c r="H309" i="28"/>
  <c r="H301" i="28"/>
  <c r="H293" i="28"/>
  <c r="H285" i="28"/>
  <c r="H277" i="28"/>
  <c r="H269" i="28"/>
  <c r="H261" i="28"/>
  <c r="H253" i="28"/>
  <c r="H245" i="28"/>
  <c r="H237" i="28"/>
  <c r="H229" i="28"/>
  <c r="H221" i="28"/>
  <c r="H213" i="28"/>
  <c r="H205" i="28"/>
  <c r="H197" i="28"/>
  <c r="H189" i="28"/>
  <c r="H181" i="28"/>
  <c r="H173" i="28"/>
  <c r="H165" i="28"/>
  <c r="H157" i="28"/>
  <c r="H149" i="28"/>
  <c r="H141" i="28"/>
  <c r="H133" i="28"/>
  <c r="H125" i="28"/>
  <c r="H117" i="28"/>
  <c r="H109" i="28"/>
  <c r="H101" i="28"/>
  <c r="H93" i="28"/>
  <c r="H85" i="28"/>
  <c r="H77" i="28"/>
  <c r="H69" i="28"/>
  <c r="H61" i="28"/>
  <c r="H53" i="28"/>
  <c r="H45" i="28"/>
  <c r="H29" i="28"/>
  <c r="J597" i="28"/>
  <c r="G597" i="28"/>
  <c r="J589" i="28"/>
  <c r="G589" i="28"/>
  <c r="J581" i="28"/>
  <c r="G581" i="28"/>
  <c r="J573" i="28"/>
  <c r="G573" i="28"/>
  <c r="J565" i="28"/>
  <c r="G565" i="28"/>
  <c r="J557" i="28"/>
  <c r="G557" i="28"/>
  <c r="J549" i="28"/>
  <c r="G549" i="28"/>
  <c r="J541" i="28"/>
  <c r="G541" i="28"/>
  <c r="J533" i="28"/>
  <c r="G533" i="28"/>
  <c r="J525" i="28"/>
  <c r="G525" i="28"/>
  <c r="J517" i="28"/>
  <c r="G517" i="28"/>
  <c r="J509" i="28"/>
  <c r="G509" i="28"/>
  <c r="J501" i="28"/>
  <c r="G501" i="28"/>
  <c r="J493" i="28"/>
  <c r="G493" i="28"/>
  <c r="J485" i="28"/>
  <c r="G485" i="28"/>
  <c r="J477" i="28"/>
  <c r="G477" i="28"/>
  <c r="J469" i="28"/>
  <c r="G469" i="28"/>
  <c r="J461" i="28"/>
  <c r="G461" i="28"/>
  <c r="J453" i="28"/>
  <c r="G453" i="28"/>
  <c r="J445" i="28"/>
  <c r="G445" i="28"/>
  <c r="J437" i="28"/>
  <c r="G437" i="28"/>
  <c r="J429" i="28"/>
  <c r="G429" i="28"/>
  <c r="J421" i="28"/>
  <c r="G421" i="28"/>
  <c r="J413" i="28"/>
  <c r="G413" i="28"/>
  <c r="J405" i="28"/>
  <c r="G405" i="28"/>
  <c r="J397" i="28"/>
  <c r="G397" i="28"/>
  <c r="J389" i="28"/>
  <c r="G389" i="28"/>
  <c r="J381" i="28"/>
  <c r="G381" i="28"/>
  <c r="J373" i="28"/>
  <c r="G373" i="28"/>
  <c r="J365" i="28"/>
  <c r="G365" i="28"/>
  <c r="J357" i="28"/>
  <c r="G357" i="28"/>
  <c r="J349" i="28"/>
  <c r="G349" i="28"/>
  <c r="J341" i="28"/>
  <c r="G341" i="28"/>
  <c r="J333" i="28"/>
  <c r="G333" i="28"/>
  <c r="J325" i="28"/>
  <c r="G325" i="28"/>
  <c r="J317" i="28"/>
  <c r="G317" i="28"/>
  <c r="J309" i="28"/>
  <c r="G309" i="28"/>
  <c r="J301" i="28"/>
  <c r="G301" i="28"/>
  <c r="J293" i="28"/>
  <c r="G293" i="28"/>
  <c r="J285" i="28"/>
  <c r="G285" i="28"/>
  <c r="J277" i="28"/>
  <c r="G277" i="28"/>
  <c r="J269" i="28"/>
  <c r="G269" i="28"/>
  <c r="J261" i="28"/>
  <c r="G261" i="28"/>
  <c r="J253" i="28"/>
  <c r="G253" i="28"/>
  <c r="J245" i="28"/>
  <c r="G245" i="28"/>
  <c r="J237" i="28"/>
  <c r="G237" i="28"/>
  <c r="J229" i="28"/>
  <c r="G229" i="28"/>
  <c r="J221" i="28"/>
  <c r="G221" i="28"/>
  <c r="J213" i="28"/>
  <c r="G213" i="28"/>
  <c r="J205" i="28"/>
  <c r="G205" i="28"/>
  <c r="J197" i="28"/>
  <c r="G197" i="28"/>
  <c r="J189" i="28"/>
  <c r="G189" i="28"/>
  <c r="J181" i="28"/>
  <c r="G181" i="28"/>
  <c r="J173" i="28"/>
  <c r="G173" i="28"/>
  <c r="J165" i="28"/>
  <c r="G165" i="28"/>
  <c r="J157" i="28"/>
  <c r="G157" i="28"/>
  <c r="J149" i="28"/>
  <c r="G149" i="28"/>
  <c r="J141" i="28"/>
  <c r="G141" i="28"/>
  <c r="J133" i="28"/>
  <c r="G133" i="28"/>
  <c r="J125" i="28"/>
  <c r="G125" i="28"/>
  <c r="J117" i="28"/>
  <c r="G117" i="28"/>
  <c r="J109" i="28"/>
  <c r="G109" i="28"/>
  <c r="J101" i="28"/>
  <c r="G101" i="28"/>
  <c r="J93" i="28"/>
  <c r="G93" i="28"/>
  <c r="J85" i="28"/>
  <c r="G85" i="28"/>
  <c r="J77" i="28"/>
  <c r="G77" i="28"/>
  <c r="J69" i="28"/>
  <c r="G69" i="28"/>
  <c r="J61" i="28"/>
  <c r="G61" i="28"/>
  <c r="J53" i="28"/>
  <c r="G53" i="28"/>
  <c r="J45" i="28"/>
  <c r="G45" i="28"/>
  <c r="J37" i="28"/>
  <c r="G37" i="28"/>
  <c r="J29" i="28"/>
  <c r="G29" i="28"/>
  <c r="J21" i="28"/>
  <c r="G21" i="28"/>
  <c r="H12" i="28"/>
  <c r="S4" i="63" l="1"/>
  <c r="B3" i="72" l="1"/>
  <c r="B4" i="72"/>
  <c r="B5" i="72"/>
  <c r="B6" i="72"/>
  <c r="B7" i="72"/>
  <c r="B8" i="72"/>
  <c r="B9" i="72"/>
  <c r="B10" i="72"/>
  <c r="B11" i="72"/>
  <c r="B12" i="72"/>
  <c r="B13" i="72"/>
  <c r="B14" i="72"/>
  <c r="B15" i="72"/>
  <c r="B16" i="72"/>
  <c r="B17" i="72"/>
  <c r="B18" i="72"/>
  <c r="B19" i="72"/>
  <c r="B20" i="72"/>
  <c r="B21" i="72"/>
  <c r="B2" i="72"/>
  <c r="C15" i="15" l="1"/>
  <c r="V6" i="27"/>
  <c r="H7" i="49"/>
  <c r="H6" i="49"/>
  <c r="I7" i="28"/>
  <c r="I6" i="28"/>
  <c r="R3" i="9"/>
  <c r="F6" i="9"/>
  <c r="H10" i="38"/>
  <c r="D13" i="38"/>
  <c r="V8" i="27"/>
  <c r="V7" i="27"/>
  <c r="K12" i="50" l="1"/>
  <c r="A9" i="49"/>
  <c r="A12" i="50"/>
  <c r="A10" i="28"/>
  <c r="AB11" i="27"/>
  <c r="A8" i="9"/>
  <c r="A10" i="27"/>
  <c r="A15" i="38"/>
  <c r="N13" i="27"/>
  <c r="L13" i="27"/>
  <c r="R13" i="27"/>
  <c r="I13" i="27"/>
  <c r="T13" i="27"/>
  <c r="S10" i="9"/>
  <c r="P13" i="27"/>
  <c r="AF11" i="27"/>
  <c r="B15" i="38"/>
  <c r="M10" i="9"/>
  <c r="B10" i="28"/>
  <c r="F10" i="28"/>
  <c r="J10" i="28"/>
  <c r="C10" i="28"/>
  <c r="G10" i="28"/>
  <c r="D10" i="28"/>
  <c r="H10" i="28"/>
  <c r="E10" i="28"/>
  <c r="I10" i="28"/>
  <c r="D14" i="50"/>
  <c r="F14" i="50"/>
  <c r="AH14" i="27"/>
  <c r="N14" i="27"/>
  <c r="R14" i="27"/>
  <c r="I11" i="49"/>
  <c r="D12" i="28"/>
  <c r="D16" i="38"/>
  <c r="K14" i="50"/>
  <c r="G14" i="50"/>
  <c r="Z14" i="27"/>
  <c r="Y14" i="27"/>
  <c r="O14" i="27"/>
  <c r="S14" i="27"/>
  <c r="F11" i="49"/>
  <c r="E12" i="28"/>
  <c r="G16" i="38"/>
  <c r="J14" i="50"/>
  <c r="H14" i="50"/>
  <c r="W14" i="27"/>
  <c r="X14" i="27"/>
  <c r="P14" i="27"/>
  <c r="T14" i="27"/>
  <c r="J12" i="28"/>
  <c r="F12" i="28"/>
  <c r="E16" i="38"/>
  <c r="E14" i="50"/>
  <c r="I14" i="50"/>
  <c r="U14" i="27"/>
  <c r="V14" i="27"/>
  <c r="Q14" i="27"/>
  <c r="M14" i="27"/>
  <c r="G12" i="28"/>
  <c r="C12" i="28"/>
  <c r="C31" i="55"/>
  <c r="C17" i="55"/>
  <c r="C32" i="55"/>
  <c r="C18" i="55"/>
  <c r="C29" i="55"/>
  <c r="C19" i="55"/>
  <c r="C23" i="55"/>
  <c r="C20" i="55"/>
  <c r="F36" i="15"/>
  <c r="F40" i="15"/>
  <c r="V5" i="27" l="1"/>
  <c r="I4" i="28"/>
  <c r="Q11" i="9"/>
  <c r="Q12" i="9"/>
  <c r="I5" i="28" l="1"/>
  <c r="C6" i="9" l="1"/>
  <c r="A13" i="38"/>
  <c r="M3" i="9"/>
  <c r="F10" i="38"/>
  <c r="H11" i="9"/>
  <c r="C11" i="9"/>
  <c r="E11" i="9" l="1"/>
  <c r="A58" i="15" l="1"/>
  <c r="A59" i="15"/>
  <c r="A60" i="15"/>
  <c r="A61" i="15"/>
  <c r="A62" i="15"/>
  <c r="P8" i="27"/>
  <c r="P7" i="27"/>
  <c r="P6" i="27"/>
  <c r="P5" i="27"/>
  <c r="H13" i="38"/>
  <c r="B17" i="38" l="1"/>
  <c r="J7" i="50" l="1"/>
  <c r="D37" i="28"/>
  <c r="C37" i="28"/>
  <c r="C29" i="28"/>
  <c r="D29" i="28"/>
  <c r="D21" i="28"/>
  <c r="C21" i="28"/>
  <c r="C12" i="9"/>
  <c r="P15" i="9"/>
  <c r="Q15" i="9" s="1"/>
  <c r="C13" i="9"/>
  <c r="C14" i="9"/>
  <c r="C15" i="9"/>
  <c r="C16" i="9"/>
  <c r="C17" i="9"/>
  <c r="C18" i="9"/>
  <c r="C19" i="9"/>
  <c r="C20" i="9"/>
  <c r="C21" i="9"/>
  <c r="C22" i="9"/>
  <c r="D22" i="9" s="1"/>
  <c r="C23" i="9"/>
  <c r="D23" i="9" s="1"/>
  <c r="C24" i="9"/>
  <c r="C25" i="9"/>
  <c r="C26" i="9"/>
  <c r="C27" i="9"/>
  <c r="C28" i="9"/>
  <c r="D28" i="9" s="1"/>
  <c r="N7" i="67"/>
  <c r="N8" i="67"/>
  <c r="N9" i="67"/>
  <c r="N10" i="67"/>
  <c r="N11" i="67"/>
  <c r="N12" i="67"/>
  <c r="N13" i="67"/>
  <c r="N14" i="67"/>
  <c r="N15" i="67"/>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56" i="67"/>
  <c r="N57" i="67"/>
  <c r="N58" i="67"/>
  <c r="N59" i="67"/>
  <c r="N60" i="67"/>
  <c r="N61" i="67"/>
  <c r="N62" i="67"/>
  <c r="N63" i="67"/>
  <c r="N64" i="67"/>
  <c r="N65" i="67"/>
  <c r="N66" i="67"/>
  <c r="N67" i="67"/>
  <c r="N68" i="67"/>
  <c r="N69" i="67"/>
  <c r="N70" i="67"/>
  <c r="N71" i="67"/>
  <c r="N72" i="67"/>
  <c r="N73" i="67"/>
  <c r="N74" i="67"/>
  <c r="N75" i="67"/>
  <c r="N76" i="67"/>
  <c r="N77" i="67"/>
  <c r="N78" i="67"/>
  <c r="N79" i="67"/>
  <c r="N80" i="67"/>
  <c r="N81" i="67"/>
  <c r="N82" i="67"/>
  <c r="N83" i="67"/>
  <c r="N84" i="67"/>
  <c r="N85" i="67"/>
  <c r="N86" i="67"/>
  <c r="N87" i="67"/>
  <c r="N88" i="67"/>
  <c r="N89" i="67"/>
  <c r="N90" i="67"/>
  <c r="N91" i="67"/>
  <c r="N92" i="67"/>
  <c r="N93" i="67"/>
  <c r="N94" i="67"/>
  <c r="N95" i="67"/>
  <c r="N96" i="67"/>
  <c r="N97" i="67"/>
  <c r="N98" i="67"/>
  <c r="N99" i="67"/>
  <c r="N100" i="67"/>
  <c r="N101" i="67"/>
  <c r="N102" i="67"/>
  <c r="N103" i="67"/>
  <c r="N104" i="67"/>
  <c r="N105" i="67"/>
  <c r="N106" i="67"/>
  <c r="N107" i="67"/>
  <c r="N108" i="67"/>
  <c r="N109" i="67"/>
  <c r="N110" i="67"/>
  <c r="N111" i="67"/>
  <c r="N112" i="67"/>
  <c r="N113" i="67"/>
  <c r="N114" i="67"/>
  <c r="N115" i="67"/>
  <c r="N116" i="67"/>
  <c r="N117" i="67"/>
  <c r="N118" i="67"/>
  <c r="N119" i="67"/>
  <c r="N120" i="67"/>
  <c r="N121" i="67"/>
  <c r="N122" i="67"/>
  <c r="N123" i="67"/>
  <c r="N124" i="67"/>
  <c r="N125" i="67"/>
  <c r="N126" i="67"/>
  <c r="N127" i="67"/>
  <c r="N128" i="67"/>
  <c r="N129" i="67"/>
  <c r="N130" i="67"/>
  <c r="N131" i="67"/>
  <c r="N6" i="67"/>
  <c r="B7" i="67"/>
  <c r="B8" i="67"/>
  <c r="B9" i="67" s="1"/>
  <c r="B10" i="67"/>
  <c r="B11" i="67" s="1"/>
  <c r="B12" i="67" s="1"/>
  <c r="B13" i="67" s="1"/>
  <c r="B14" i="67"/>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B96" i="67" s="1"/>
  <c r="B97" i="67" s="1"/>
  <c r="B98" i="67" s="1"/>
  <c r="B99" i="67" s="1"/>
  <c r="B100" i="67" s="1"/>
  <c r="B101" i="67" s="1"/>
  <c r="B102" i="67" s="1"/>
  <c r="B103" i="67" s="1"/>
  <c r="B104" i="67" s="1"/>
  <c r="B105" i="67" s="1"/>
  <c r="B106" i="67" s="1"/>
  <c r="B107" i="67" s="1"/>
  <c r="B108" i="67" s="1"/>
  <c r="B109" i="67" s="1"/>
  <c r="B110" i="67" s="1"/>
  <c r="B111" i="67" s="1"/>
  <c r="B112" i="67" s="1"/>
  <c r="B113" i="67" s="1"/>
  <c r="B114" i="67" s="1"/>
  <c r="B115" i="67" s="1"/>
  <c r="B116" i="67" s="1"/>
  <c r="B117" i="67" s="1"/>
  <c r="B118" i="67" s="1"/>
  <c r="B119" i="67" s="1"/>
  <c r="B120" i="67" s="1"/>
  <c r="B121" i="67" s="1"/>
  <c r="B122" i="67" s="1"/>
  <c r="B123" i="67" s="1"/>
  <c r="B124" i="67" s="1"/>
  <c r="B125" i="67" s="1"/>
  <c r="B126" i="67" s="1"/>
  <c r="B127" i="67" s="1"/>
  <c r="B128" i="67" s="1"/>
  <c r="B129" i="67" s="1"/>
  <c r="B130" i="67" s="1"/>
  <c r="B131" i="67" s="1"/>
  <c r="A24" i="55"/>
  <c r="A25" i="55"/>
  <c r="A5" i="55"/>
  <c r="A8" i="55"/>
  <c r="A45" i="55"/>
  <c r="A44" i="55"/>
  <c r="A43" i="55"/>
  <c r="A42" i="55"/>
  <c r="A41" i="55"/>
  <c r="A40" i="55"/>
  <c r="A39" i="55"/>
  <c r="A37" i="55"/>
  <c r="A35" i="55"/>
  <c r="B32" i="55"/>
  <c r="B31" i="55"/>
  <c r="B30" i="55"/>
  <c r="B29" i="55"/>
  <c r="B28" i="55"/>
  <c r="B27" i="55"/>
  <c r="B26" i="55"/>
  <c r="A16" i="55"/>
  <c r="B23" i="55"/>
  <c r="B22" i="55"/>
  <c r="B21" i="55"/>
  <c r="B20" i="55"/>
  <c r="B19" i="55"/>
  <c r="B18" i="55"/>
  <c r="B17" i="55"/>
  <c r="A14" i="55"/>
  <c r="A12" i="55"/>
  <c r="A10" i="55"/>
  <c r="F39" i="15"/>
  <c r="B20" i="28" s="1"/>
  <c r="B19" i="28" s="1"/>
  <c r="B18" i="28" s="1"/>
  <c r="B17" i="28" s="1"/>
  <c r="B16" i="28" s="1"/>
  <c r="B15" i="28" s="1"/>
  <c r="B14" i="28" s="1"/>
  <c r="B15" i="27" s="1"/>
  <c r="F41" i="15"/>
  <c r="J9" i="50"/>
  <c r="J8" i="50"/>
  <c r="D9" i="50"/>
  <c r="D8" i="50"/>
  <c r="D7" i="50"/>
  <c r="D6" i="50"/>
  <c r="B18" i="38"/>
  <c r="B19" i="38" s="1"/>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B45" i="38" s="1"/>
  <c r="B46" i="38" s="1"/>
  <c r="B47" i="38" s="1"/>
  <c r="B48" i="38" s="1"/>
  <c r="B49" i="38" s="1"/>
  <c r="B50" i="38" s="1"/>
  <c r="B51" i="38" s="1"/>
  <c r="B52" i="38" s="1"/>
  <c r="B53" i="38" s="1"/>
  <c r="B54" i="38" s="1"/>
  <c r="B55" i="38" s="1"/>
  <c r="B56" i="38" s="1"/>
  <c r="B57" i="38" s="1"/>
  <c r="B58" i="38" s="1"/>
  <c r="B59" i="38" s="1"/>
  <c r="B60" i="38" s="1"/>
  <c r="B61" i="38" s="1"/>
  <c r="B62" i="38" s="1"/>
  <c r="B63" i="38" s="1"/>
  <c r="B64" i="38" s="1"/>
  <c r="B65" i="38" s="1"/>
  <c r="B66" i="38" s="1"/>
  <c r="B67" i="38" s="1"/>
  <c r="B68" i="38" s="1"/>
  <c r="B69" i="38" s="1"/>
  <c r="B70" i="38" s="1"/>
  <c r="B71" i="38" s="1"/>
  <c r="B72" i="38" s="1"/>
  <c r="B73" i="38" s="1"/>
  <c r="B74" i="38" s="1"/>
  <c r="B75" i="38" s="1"/>
  <c r="B76" i="38" s="1"/>
  <c r="B77" i="38" s="1"/>
  <c r="B78" i="38" s="1"/>
  <c r="B79" i="38" s="1"/>
  <c r="B80" i="38" s="1"/>
  <c r="B81" i="38" s="1"/>
  <c r="B82" i="38" s="1"/>
  <c r="B83" i="38" s="1"/>
  <c r="B84" i="38" s="1"/>
  <c r="B85" i="38" s="1"/>
  <c r="B86" i="38" s="1"/>
  <c r="B87" i="38" s="1"/>
  <c r="B88" i="38" s="1"/>
  <c r="B89" i="38" s="1"/>
  <c r="B90" i="38" s="1"/>
  <c r="B91" i="38" s="1"/>
  <c r="B92" i="38" s="1"/>
  <c r="B93" i="38" s="1"/>
  <c r="B94" i="38" s="1"/>
  <c r="B95" i="38" s="1"/>
  <c r="B96" i="38" s="1"/>
  <c r="B97" i="38" s="1"/>
  <c r="B98" i="38" s="1"/>
  <c r="B99" i="38" s="1"/>
  <c r="B100" i="38" s="1"/>
  <c r="B101" i="38" s="1"/>
  <c r="B102" i="38" s="1"/>
  <c r="B103" i="38" s="1"/>
  <c r="B104" i="38" s="1"/>
  <c r="B105" i="38" s="1"/>
  <c r="B106" i="38" s="1"/>
  <c r="B107" i="38" s="1"/>
  <c r="B108" i="38" s="1"/>
  <c r="B109" i="38" s="1"/>
  <c r="B110" i="38" s="1"/>
  <c r="B111" i="38" s="1"/>
  <c r="B112" i="38" s="1"/>
  <c r="B113" i="38" s="1"/>
  <c r="B114" i="38" s="1"/>
  <c r="B115" i="38" s="1"/>
  <c r="B116" i="38" s="1"/>
  <c r="B117" i="38" s="1"/>
  <c r="B118" i="38" s="1"/>
  <c r="B119" i="38" s="1"/>
  <c r="B120" i="38" s="1"/>
  <c r="B121" i="38" s="1"/>
  <c r="B122" i="38" s="1"/>
  <c r="B123" i="38" s="1"/>
  <c r="B124" i="38" s="1"/>
  <c r="B125" i="38" s="1"/>
  <c r="B126" i="38" s="1"/>
  <c r="B127" i="38" s="1"/>
  <c r="B128" i="38" s="1"/>
  <c r="B129" i="38" s="1"/>
  <c r="B130" i="38" s="1"/>
  <c r="B131" i="38" s="1"/>
  <c r="B132" i="38" s="1"/>
  <c r="B133" i="38" s="1"/>
  <c r="B134" i="38" s="1"/>
  <c r="B135" i="38" s="1"/>
  <c r="B136" i="38" s="1"/>
  <c r="B137" i="38" s="1"/>
  <c r="B138" i="38" s="1"/>
  <c r="B139" i="38" s="1"/>
  <c r="B140" i="38" s="1"/>
  <c r="B141" i="38" s="1"/>
  <c r="B142" i="38" s="1"/>
  <c r="H5" i="49"/>
  <c r="D7" i="49"/>
  <c r="D6" i="49"/>
  <c r="D5" i="49"/>
  <c r="D4" i="49"/>
  <c r="D7" i="28"/>
  <c r="D6" i="28"/>
  <c r="D5" i="28"/>
  <c r="D4" i="28"/>
  <c r="O11" i="9"/>
  <c r="AO78" i="40"/>
  <c r="AP78" i="40"/>
  <c r="AQ78" i="40"/>
  <c r="A16" i="27"/>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B13" i="28"/>
  <c r="B21" i="28"/>
  <c r="E21" i="28"/>
  <c r="F21" i="28"/>
  <c r="I21" i="28"/>
  <c r="B29" i="28"/>
  <c r="E29" i="28"/>
  <c r="F29" i="28"/>
  <c r="I29" i="28"/>
  <c r="B37" i="28"/>
  <c r="E37" i="28"/>
  <c r="F37" i="28"/>
  <c r="I37" i="28"/>
  <c r="B45" i="28"/>
  <c r="C45" i="28"/>
  <c r="D45" i="28"/>
  <c r="E45" i="28"/>
  <c r="F45" i="28"/>
  <c r="I45" i="28"/>
  <c r="B53" i="28"/>
  <c r="C53" i="28"/>
  <c r="D53" i="28"/>
  <c r="E53" i="28"/>
  <c r="F53" i="28"/>
  <c r="I53" i="28"/>
  <c r="A54" i="28"/>
  <c r="A62" i="28" s="1"/>
  <c r="A70" i="28" s="1"/>
  <c r="A55" i="28"/>
  <c r="A63" i="28" s="1"/>
  <c r="A71" i="28" s="1"/>
  <c r="A78" i="28" s="1"/>
  <c r="A86" i="28" s="1"/>
  <c r="A94" i="28" s="1"/>
  <c r="A102" i="28" s="1"/>
  <c r="A110" i="28" s="1"/>
  <c r="A118" i="28" s="1"/>
  <c r="A126" i="28" s="1"/>
  <c r="A134" i="28" s="1"/>
  <c r="A142" i="28" s="1"/>
  <c r="A150" i="28" s="1"/>
  <c r="A158" i="28" s="1"/>
  <c r="A166" i="28" s="1"/>
  <c r="A174" i="28" s="1"/>
  <c r="A182" i="28" s="1"/>
  <c r="A190" i="28" s="1"/>
  <c r="A198" i="28" s="1"/>
  <c r="A206" i="28" s="1"/>
  <c r="A214" i="28" s="1"/>
  <c r="A222" i="28" s="1"/>
  <c r="A230" i="28" s="1"/>
  <c r="A238" i="28" s="1"/>
  <c r="A246" i="28" s="1"/>
  <c r="A254" i="28" s="1"/>
  <c r="A262" i="28" s="1"/>
  <c r="A270" i="28" s="1"/>
  <c r="A278" i="28" s="1"/>
  <c r="A286" i="28" s="1"/>
  <c r="A294" i="28" s="1"/>
  <c r="A302" i="28" s="1"/>
  <c r="A310" i="28" s="1"/>
  <c r="A318" i="28" s="1"/>
  <c r="A326" i="28" s="1"/>
  <c r="A334" i="28" s="1"/>
  <c r="A342" i="28" s="1"/>
  <c r="A350" i="28" s="1"/>
  <c r="A358" i="28" s="1"/>
  <c r="A366" i="28" s="1"/>
  <c r="A375" i="28" s="1"/>
  <c r="A383" i="28" s="1"/>
  <c r="A391" i="28" s="1"/>
  <c r="A399" i="28" s="1"/>
  <c r="A407" i="28" s="1"/>
  <c r="A415" i="28" s="1"/>
  <c r="A423" i="28" s="1"/>
  <c r="A431" i="28" s="1"/>
  <c r="A439" i="28" s="1"/>
  <c r="A447" i="28" s="1"/>
  <c r="A455" i="28" s="1"/>
  <c r="A463" i="28" s="1"/>
  <c r="A471" i="28" s="1"/>
  <c r="A479" i="28" s="1"/>
  <c r="A487" i="28" s="1"/>
  <c r="A495" i="28" s="1"/>
  <c r="A503" i="28" s="1"/>
  <c r="A511" i="28" s="1"/>
  <c r="A519" i="28" s="1"/>
  <c r="A527" i="28" s="1"/>
  <c r="A535" i="28" s="1"/>
  <c r="A543" i="28" s="1"/>
  <c r="A551" i="28" s="1"/>
  <c r="A559" i="28" s="1"/>
  <c r="A567" i="28" s="1"/>
  <c r="A575" i="28" s="1"/>
  <c r="A583" i="28" s="1"/>
  <c r="A591" i="28" s="1"/>
  <c r="A56" i="28"/>
  <c r="A64" i="28" s="1"/>
  <c r="A72" i="28" s="1"/>
  <c r="A79" i="28" s="1"/>
  <c r="A87" i="28" s="1"/>
  <c r="A95" i="28" s="1"/>
  <c r="A103" i="28" s="1"/>
  <c r="A111" i="28" s="1"/>
  <c r="A119" i="28" s="1"/>
  <c r="A127" i="28" s="1"/>
  <c r="A135" i="28" s="1"/>
  <c r="A143" i="28" s="1"/>
  <c r="A151" i="28" s="1"/>
  <c r="A159" i="28" s="1"/>
  <c r="A167" i="28" s="1"/>
  <c r="A175" i="28" s="1"/>
  <c r="A183" i="28" s="1"/>
  <c r="A191" i="28" s="1"/>
  <c r="A199" i="28" s="1"/>
  <c r="A207" i="28" s="1"/>
  <c r="A215" i="28" s="1"/>
  <c r="A223" i="28" s="1"/>
  <c r="A231" i="28" s="1"/>
  <c r="A239" i="28" s="1"/>
  <c r="A247" i="28" s="1"/>
  <c r="A255" i="28" s="1"/>
  <c r="A263" i="28" s="1"/>
  <c r="A271" i="28" s="1"/>
  <c r="A279" i="28" s="1"/>
  <c r="A287" i="28" s="1"/>
  <c r="A295" i="28" s="1"/>
  <c r="A303" i="28" s="1"/>
  <c r="A311" i="28" s="1"/>
  <c r="A319" i="28" s="1"/>
  <c r="A327" i="28" s="1"/>
  <c r="A335" i="28" s="1"/>
  <c r="A343" i="28" s="1"/>
  <c r="A351" i="28" s="1"/>
  <c r="A359" i="28" s="1"/>
  <c r="A367" i="28" s="1"/>
  <c r="A376" i="28" s="1"/>
  <c r="A384" i="28" s="1"/>
  <c r="A392" i="28" s="1"/>
  <c r="A400" i="28" s="1"/>
  <c r="A408" i="28" s="1"/>
  <c r="A416" i="28" s="1"/>
  <c r="A424" i="28" s="1"/>
  <c r="A432" i="28" s="1"/>
  <c r="A440" i="28" s="1"/>
  <c r="A448" i="28" s="1"/>
  <c r="A456" i="28" s="1"/>
  <c r="A464" i="28" s="1"/>
  <c r="A472" i="28" s="1"/>
  <c r="A480" i="28" s="1"/>
  <c r="A488" i="28" s="1"/>
  <c r="A496" i="28" s="1"/>
  <c r="A504" i="28" s="1"/>
  <c r="A512" i="28" s="1"/>
  <c r="A520" i="28" s="1"/>
  <c r="A528" i="28" s="1"/>
  <c r="A536" i="28" s="1"/>
  <c r="A544" i="28" s="1"/>
  <c r="A552" i="28" s="1"/>
  <c r="A560" i="28" s="1"/>
  <c r="A568" i="28" s="1"/>
  <c r="A576" i="28" s="1"/>
  <c r="A584" i="28" s="1"/>
  <c r="A592" i="28" s="1"/>
  <c r="A57" i="28"/>
  <c r="A65" i="28" s="1"/>
  <c r="A73" i="28" s="1"/>
  <c r="A80" i="28" s="1"/>
  <c r="A88" i="28" s="1"/>
  <c r="A96" i="28" s="1"/>
  <c r="A104" i="28" s="1"/>
  <c r="A112" i="28" s="1"/>
  <c r="A120" i="28" s="1"/>
  <c r="A128" i="28" s="1"/>
  <c r="A136" i="28" s="1"/>
  <c r="A144" i="28" s="1"/>
  <c r="A152" i="28" s="1"/>
  <c r="A160" i="28" s="1"/>
  <c r="A168" i="28" s="1"/>
  <c r="A176" i="28" s="1"/>
  <c r="A184" i="28" s="1"/>
  <c r="A192" i="28" s="1"/>
  <c r="A200" i="28" s="1"/>
  <c r="A208" i="28" s="1"/>
  <c r="A216" i="28" s="1"/>
  <c r="A224" i="28" s="1"/>
  <c r="A232" i="28" s="1"/>
  <c r="A240" i="28" s="1"/>
  <c r="A248" i="28" s="1"/>
  <c r="A256" i="28" s="1"/>
  <c r="A264" i="28" s="1"/>
  <c r="A272" i="28" s="1"/>
  <c r="A280" i="28" s="1"/>
  <c r="A288" i="28" s="1"/>
  <c r="A296" i="28" s="1"/>
  <c r="A304" i="28" s="1"/>
  <c r="A312" i="28" s="1"/>
  <c r="A320" i="28" s="1"/>
  <c r="A328" i="28" s="1"/>
  <c r="A336" i="28" s="1"/>
  <c r="A344" i="28" s="1"/>
  <c r="A352" i="28" s="1"/>
  <c r="A360" i="28" s="1"/>
  <c r="A368" i="28" s="1"/>
  <c r="A377" i="28" s="1"/>
  <c r="A385" i="28" s="1"/>
  <c r="A393" i="28" s="1"/>
  <c r="A401" i="28" s="1"/>
  <c r="A409" i="28" s="1"/>
  <c r="A417" i="28" s="1"/>
  <c r="A425" i="28" s="1"/>
  <c r="A433" i="28" s="1"/>
  <c r="A441" i="28" s="1"/>
  <c r="A449" i="28" s="1"/>
  <c r="A457" i="28" s="1"/>
  <c r="A465" i="28" s="1"/>
  <c r="A473" i="28" s="1"/>
  <c r="A481" i="28" s="1"/>
  <c r="A489" i="28" s="1"/>
  <c r="A497" i="28" s="1"/>
  <c r="A505" i="28" s="1"/>
  <c r="A513" i="28" s="1"/>
  <c r="A521" i="28" s="1"/>
  <c r="A529" i="28" s="1"/>
  <c r="A537" i="28" s="1"/>
  <c r="A545" i="28" s="1"/>
  <c r="A553" i="28" s="1"/>
  <c r="A561" i="28" s="1"/>
  <c r="A569" i="28" s="1"/>
  <c r="A577" i="28" s="1"/>
  <c r="A585" i="28" s="1"/>
  <c r="A593" i="28" s="1"/>
  <c r="A58" i="28"/>
  <c r="A66" i="28" s="1"/>
  <c r="A74" i="28" s="1"/>
  <c r="A81" i="28" s="1"/>
  <c r="A89" i="28" s="1"/>
  <c r="A97" i="28" s="1"/>
  <c r="A105" i="28" s="1"/>
  <c r="A113" i="28" s="1"/>
  <c r="A121" i="28" s="1"/>
  <c r="A129" i="28" s="1"/>
  <c r="A137" i="28" s="1"/>
  <c r="A145" i="28" s="1"/>
  <c r="A153" i="28" s="1"/>
  <c r="A161" i="28" s="1"/>
  <c r="A169" i="28" s="1"/>
  <c r="A177" i="28" s="1"/>
  <c r="A185" i="28" s="1"/>
  <c r="A193" i="28" s="1"/>
  <c r="A201" i="28" s="1"/>
  <c r="A209" i="28" s="1"/>
  <c r="A217" i="28" s="1"/>
  <c r="A225" i="28" s="1"/>
  <c r="A233" i="28" s="1"/>
  <c r="A241" i="28" s="1"/>
  <c r="A249" i="28" s="1"/>
  <c r="A257" i="28" s="1"/>
  <c r="A265" i="28" s="1"/>
  <c r="A273" i="28" s="1"/>
  <c r="A281" i="28" s="1"/>
  <c r="A289" i="28" s="1"/>
  <c r="A297" i="28" s="1"/>
  <c r="A305" i="28" s="1"/>
  <c r="A313" i="28" s="1"/>
  <c r="A321" i="28" s="1"/>
  <c r="A329" i="28" s="1"/>
  <c r="A337" i="28" s="1"/>
  <c r="A345" i="28" s="1"/>
  <c r="A353" i="28" s="1"/>
  <c r="A361" i="28" s="1"/>
  <c r="A369" i="28" s="1"/>
  <c r="A378" i="28" s="1"/>
  <c r="A386" i="28" s="1"/>
  <c r="A394" i="28" s="1"/>
  <c r="A402" i="28" s="1"/>
  <c r="A410" i="28" s="1"/>
  <c r="A418" i="28" s="1"/>
  <c r="A426" i="28" s="1"/>
  <c r="A434" i="28" s="1"/>
  <c r="A442" i="28" s="1"/>
  <c r="A450" i="28" s="1"/>
  <c r="A458" i="28" s="1"/>
  <c r="A466" i="28" s="1"/>
  <c r="A474" i="28" s="1"/>
  <c r="A482" i="28" s="1"/>
  <c r="A490" i="28" s="1"/>
  <c r="A498" i="28" s="1"/>
  <c r="A506" i="28" s="1"/>
  <c r="A514" i="28" s="1"/>
  <c r="A522" i="28" s="1"/>
  <c r="A530" i="28" s="1"/>
  <c r="A538" i="28" s="1"/>
  <c r="A546" i="28" s="1"/>
  <c r="A554" i="28" s="1"/>
  <c r="A562" i="28" s="1"/>
  <c r="A570" i="28" s="1"/>
  <c r="A578" i="28" s="1"/>
  <c r="A586" i="28" s="1"/>
  <c r="A594" i="28" s="1"/>
  <c r="A59" i="28"/>
  <c r="A67" i="28" s="1"/>
  <c r="A75" i="28" s="1"/>
  <c r="A82" i="28" s="1"/>
  <c r="A90" i="28" s="1"/>
  <c r="A98" i="28" s="1"/>
  <c r="A106" i="28" s="1"/>
  <c r="A114" i="28" s="1"/>
  <c r="A122" i="28" s="1"/>
  <c r="A130" i="28" s="1"/>
  <c r="A138" i="28" s="1"/>
  <c r="A146" i="28" s="1"/>
  <c r="A154" i="28" s="1"/>
  <c r="A162" i="28" s="1"/>
  <c r="A170" i="28" s="1"/>
  <c r="A178" i="28" s="1"/>
  <c r="A186" i="28" s="1"/>
  <c r="A194" i="28" s="1"/>
  <c r="A202" i="28" s="1"/>
  <c r="A210" i="28" s="1"/>
  <c r="A218" i="28" s="1"/>
  <c r="A226" i="28" s="1"/>
  <c r="A234" i="28" s="1"/>
  <c r="A242" i="28" s="1"/>
  <c r="A250" i="28" s="1"/>
  <c r="A258" i="28" s="1"/>
  <c r="A266" i="28" s="1"/>
  <c r="A274" i="28" s="1"/>
  <c r="A282" i="28" s="1"/>
  <c r="A290" i="28" s="1"/>
  <c r="A298" i="28" s="1"/>
  <c r="A306" i="28" s="1"/>
  <c r="A314" i="28" s="1"/>
  <c r="A322" i="28" s="1"/>
  <c r="A330" i="28" s="1"/>
  <c r="A338" i="28" s="1"/>
  <c r="A346" i="28" s="1"/>
  <c r="A354" i="28" s="1"/>
  <c r="A362" i="28" s="1"/>
  <c r="A370" i="28" s="1"/>
  <c r="A379" i="28" s="1"/>
  <c r="A387" i="28" s="1"/>
  <c r="A395" i="28" s="1"/>
  <c r="A403" i="28" s="1"/>
  <c r="A411" i="28" s="1"/>
  <c r="A419" i="28" s="1"/>
  <c r="A427" i="28" s="1"/>
  <c r="A435" i="28" s="1"/>
  <c r="A443" i="28" s="1"/>
  <c r="A451" i="28" s="1"/>
  <c r="A459" i="28" s="1"/>
  <c r="A467" i="28" s="1"/>
  <c r="A475" i="28" s="1"/>
  <c r="A483" i="28" s="1"/>
  <c r="A491" i="28" s="1"/>
  <c r="A499" i="28" s="1"/>
  <c r="A507" i="28" s="1"/>
  <c r="A515" i="28" s="1"/>
  <c r="A523" i="28" s="1"/>
  <c r="A531" i="28" s="1"/>
  <c r="A539" i="28" s="1"/>
  <c r="A547" i="28" s="1"/>
  <c r="A555" i="28" s="1"/>
  <c r="A563" i="28" s="1"/>
  <c r="A571" i="28" s="1"/>
  <c r="A579" i="28" s="1"/>
  <c r="A587" i="28" s="1"/>
  <c r="A595" i="28" s="1"/>
  <c r="A60" i="28"/>
  <c r="A68" i="28" s="1"/>
  <c r="A76" i="28" s="1"/>
  <c r="A83" i="28" s="1"/>
  <c r="A91" i="28" s="1"/>
  <c r="A99" i="28" s="1"/>
  <c r="A107" i="28" s="1"/>
  <c r="A115" i="28" s="1"/>
  <c r="A123" i="28" s="1"/>
  <c r="A131" i="28" s="1"/>
  <c r="A139" i="28" s="1"/>
  <c r="A147" i="28" s="1"/>
  <c r="A155" i="28" s="1"/>
  <c r="A163" i="28" s="1"/>
  <c r="A171" i="28" s="1"/>
  <c r="A179" i="28" s="1"/>
  <c r="A187" i="28" s="1"/>
  <c r="A195" i="28" s="1"/>
  <c r="A203" i="28" s="1"/>
  <c r="A211" i="28" s="1"/>
  <c r="A219" i="28" s="1"/>
  <c r="A227" i="28" s="1"/>
  <c r="A235" i="28" s="1"/>
  <c r="A243" i="28" s="1"/>
  <c r="A251" i="28" s="1"/>
  <c r="A259" i="28" s="1"/>
  <c r="A267" i="28" s="1"/>
  <c r="A275" i="28" s="1"/>
  <c r="A283" i="28" s="1"/>
  <c r="A291" i="28" s="1"/>
  <c r="A299" i="28" s="1"/>
  <c r="A307" i="28" s="1"/>
  <c r="A315" i="28" s="1"/>
  <c r="A323" i="28" s="1"/>
  <c r="A331" i="28" s="1"/>
  <c r="A339" i="28" s="1"/>
  <c r="A347" i="28" s="1"/>
  <c r="A355" i="28" s="1"/>
  <c r="A363" i="28" s="1"/>
  <c r="A371" i="28" s="1"/>
  <c r="A380" i="28" s="1"/>
  <c r="A388" i="28" s="1"/>
  <c r="A396" i="28" s="1"/>
  <c r="A404" i="28" s="1"/>
  <c r="A412" i="28" s="1"/>
  <c r="A420" i="28" s="1"/>
  <c r="A428" i="28" s="1"/>
  <c r="A436" i="28" s="1"/>
  <c r="A444" i="28" s="1"/>
  <c r="A452" i="28" s="1"/>
  <c r="A460" i="28" s="1"/>
  <c r="A468" i="28" s="1"/>
  <c r="A476" i="28" s="1"/>
  <c r="A484" i="28" s="1"/>
  <c r="A492" i="28" s="1"/>
  <c r="A500" i="28" s="1"/>
  <c r="A508" i="28" s="1"/>
  <c r="A516" i="28" s="1"/>
  <c r="A524" i="28" s="1"/>
  <c r="A532" i="28" s="1"/>
  <c r="A540" i="28" s="1"/>
  <c r="A548" i="28" s="1"/>
  <c r="A556" i="28" s="1"/>
  <c r="A564" i="28" s="1"/>
  <c r="A572" i="28" s="1"/>
  <c r="A580" i="28" s="1"/>
  <c r="A588" i="28" s="1"/>
  <c r="A596" i="28" s="1"/>
  <c r="B61" i="28"/>
  <c r="C61" i="28"/>
  <c r="D61" i="28"/>
  <c r="E61" i="28"/>
  <c r="F61" i="28"/>
  <c r="I61" i="28"/>
  <c r="B69" i="28"/>
  <c r="C69" i="28"/>
  <c r="D69" i="28"/>
  <c r="E69" i="28"/>
  <c r="F69" i="28"/>
  <c r="I69" i="28"/>
  <c r="B77" i="28"/>
  <c r="C77" i="28"/>
  <c r="D77" i="28"/>
  <c r="E77" i="28"/>
  <c r="F77" i="28"/>
  <c r="I77" i="28"/>
  <c r="B85" i="28"/>
  <c r="C85" i="28"/>
  <c r="D85" i="28"/>
  <c r="E85" i="28"/>
  <c r="F85" i="28"/>
  <c r="I85" i="28"/>
  <c r="B93" i="28"/>
  <c r="C93" i="28"/>
  <c r="D93" i="28"/>
  <c r="E93" i="28"/>
  <c r="F93" i="28"/>
  <c r="I93" i="28"/>
  <c r="A100" i="28"/>
  <c r="A108" i="28"/>
  <c r="A116" i="28" s="1"/>
  <c r="A124" i="28" s="1"/>
  <c r="A132" i="28" s="1"/>
  <c r="A140" i="28" s="1"/>
  <c r="A148" i="28" s="1"/>
  <c r="A156" i="28" s="1"/>
  <c r="A164" i="28" s="1"/>
  <c r="A172" i="28" s="1"/>
  <c r="A180" i="28" s="1"/>
  <c r="A188" i="28" s="1"/>
  <c r="A196" i="28" s="1"/>
  <c r="A204" i="28" s="1"/>
  <c r="A212" i="28" s="1"/>
  <c r="A220" i="28" s="1"/>
  <c r="A228" i="28" s="1"/>
  <c r="A236" i="28" s="1"/>
  <c r="A244" i="28" s="1"/>
  <c r="A252" i="28" s="1"/>
  <c r="A260" i="28" s="1"/>
  <c r="A268" i="28" s="1"/>
  <c r="A276" i="28" s="1"/>
  <c r="A284" i="28" s="1"/>
  <c r="A292" i="28" s="1"/>
  <c r="A300" i="28" s="1"/>
  <c r="A308" i="28" s="1"/>
  <c r="A316" i="28" s="1"/>
  <c r="A324" i="28" s="1"/>
  <c r="A332" i="28" s="1"/>
  <c r="A340" i="28" s="1"/>
  <c r="A348" i="28" s="1"/>
  <c r="A356" i="28" s="1"/>
  <c r="A364" i="28" s="1"/>
  <c r="B101" i="28"/>
  <c r="C101" i="28"/>
  <c r="D101" i="28"/>
  <c r="E101" i="28"/>
  <c r="F101" i="28"/>
  <c r="I101" i="28"/>
  <c r="B109" i="28"/>
  <c r="C109" i="28"/>
  <c r="D109" i="28"/>
  <c r="E109" i="28"/>
  <c r="F109" i="28"/>
  <c r="I109" i="28"/>
  <c r="B117" i="28"/>
  <c r="C117" i="28"/>
  <c r="D117" i="28"/>
  <c r="E117" i="28"/>
  <c r="F117" i="28"/>
  <c r="I117" i="28"/>
  <c r="B125" i="28"/>
  <c r="C125" i="28"/>
  <c r="D125" i="28"/>
  <c r="E125" i="28"/>
  <c r="F125" i="28"/>
  <c r="I125" i="28"/>
  <c r="B133" i="28"/>
  <c r="C133" i="28"/>
  <c r="D133" i="28"/>
  <c r="E133" i="28"/>
  <c r="F133" i="28"/>
  <c r="I133" i="28"/>
  <c r="B141" i="28"/>
  <c r="C141" i="28"/>
  <c r="D141" i="28"/>
  <c r="E141" i="28"/>
  <c r="F141" i="28"/>
  <c r="I141" i="28"/>
  <c r="B149" i="28"/>
  <c r="C149" i="28"/>
  <c r="D149" i="28"/>
  <c r="E149" i="28"/>
  <c r="F149" i="28"/>
  <c r="I149" i="28"/>
  <c r="B157" i="28"/>
  <c r="C157" i="28"/>
  <c r="D157" i="28"/>
  <c r="E157" i="28"/>
  <c r="F157" i="28"/>
  <c r="I157" i="28"/>
  <c r="B165" i="28"/>
  <c r="C165" i="28"/>
  <c r="D165" i="28"/>
  <c r="E165" i="28"/>
  <c r="F165" i="28"/>
  <c r="I165" i="28"/>
  <c r="B173" i="28"/>
  <c r="C173" i="28"/>
  <c r="D173" i="28"/>
  <c r="E173" i="28"/>
  <c r="F173" i="28"/>
  <c r="I173" i="28"/>
  <c r="B181" i="28"/>
  <c r="C181" i="28"/>
  <c r="D181" i="28"/>
  <c r="E181" i="28"/>
  <c r="F181" i="28"/>
  <c r="I181" i="28"/>
  <c r="B189" i="28"/>
  <c r="C189" i="28"/>
  <c r="D189" i="28"/>
  <c r="E189" i="28"/>
  <c r="F189" i="28"/>
  <c r="I189" i="28"/>
  <c r="B197" i="28"/>
  <c r="C197" i="28"/>
  <c r="D197" i="28"/>
  <c r="E197" i="28"/>
  <c r="F197" i="28"/>
  <c r="I197" i="28"/>
  <c r="B205" i="28"/>
  <c r="C205" i="28"/>
  <c r="D205" i="28"/>
  <c r="E205" i="28"/>
  <c r="F205" i="28"/>
  <c r="I205" i="28"/>
  <c r="B213" i="28"/>
  <c r="C213" i="28"/>
  <c r="D213" i="28"/>
  <c r="E213" i="28"/>
  <c r="F213" i="28"/>
  <c r="I213" i="28"/>
  <c r="B221" i="28"/>
  <c r="C221" i="28"/>
  <c r="D221" i="28"/>
  <c r="E221" i="28"/>
  <c r="F221" i="28"/>
  <c r="I221" i="28"/>
  <c r="B229" i="28"/>
  <c r="C229" i="28"/>
  <c r="D229" i="28"/>
  <c r="E229" i="28"/>
  <c r="F229" i="28"/>
  <c r="I229" i="28"/>
  <c r="B237" i="28"/>
  <c r="C237" i="28"/>
  <c r="D237" i="28"/>
  <c r="E237" i="28"/>
  <c r="F237" i="28"/>
  <c r="I237" i="28"/>
  <c r="B245" i="28"/>
  <c r="C245" i="28"/>
  <c r="D245" i="28"/>
  <c r="E245" i="28"/>
  <c r="F245" i="28"/>
  <c r="I245" i="28"/>
  <c r="B253" i="28"/>
  <c r="C253" i="28"/>
  <c r="D253" i="28"/>
  <c r="E253" i="28"/>
  <c r="F253" i="28"/>
  <c r="I253" i="28"/>
  <c r="B261" i="28"/>
  <c r="C261" i="28"/>
  <c r="D261" i="28"/>
  <c r="E261" i="28"/>
  <c r="F261" i="28"/>
  <c r="I261" i="28"/>
  <c r="B269" i="28"/>
  <c r="C269" i="28"/>
  <c r="D269" i="28"/>
  <c r="E269" i="28"/>
  <c r="F269" i="28"/>
  <c r="I269" i="28"/>
  <c r="B277" i="28"/>
  <c r="C277" i="28"/>
  <c r="D277" i="28"/>
  <c r="E277" i="28"/>
  <c r="F277" i="28"/>
  <c r="I277" i="28"/>
  <c r="B285" i="28"/>
  <c r="C285" i="28"/>
  <c r="D285" i="28"/>
  <c r="E285" i="28"/>
  <c r="F285" i="28"/>
  <c r="I285" i="28"/>
  <c r="B293" i="28"/>
  <c r="C293" i="28"/>
  <c r="D293" i="28"/>
  <c r="E293" i="28"/>
  <c r="F293" i="28"/>
  <c r="I293" i="28"/>
  <c r="B301" i="28"/>
  <c r="C301" i="28"/>
  <c r="D301" i="28"/>
  <c r="E301" i="28"/>
  <c r="F301" i="28"/>
  <c r="I301" i="28"/>
  <c r="B309" i="28"/>
  <c r="C309" i="28"/>
  <c r="D309" i="28"/>
  <c r="E309" i="28"/>
  <c r="F309" i="28"/>
  <c r="I309" i="28"/>
  <c r="B317" i="28"/>
  <c r="C317" i="28"/>
  <c r="D317" i="28"/>
  <c r="E317" i="28"/>
  <c r="F317" i="28"/>
  <c r="I317" i="28"/>
  <c r="B325" i="28"/>
  <c r="C325" i="28"/>
  <c r="D325" i="28"/>
  <c r="E325" i="28"/>
  <c r="F325" i="28"/>
  <c r="I325" i="28"/>
  <c r="B333" i="28"/>
  <c r="C333" i="28"/>
  <c r="D333" i="28"/>
  <c r="E333" i="28"/>
  <c r="F333" i="28"/>
  <c r="I333" i="28"/>
  <c r="B341" i="28"/>
  <c r="C341" i="28"/>
  <c r="D341" i="28"/>
  <c r="E341" i="28"/>
  <c r="F341" i="28"/>
  <c r="I341" i="28"/>
  <c r="B349" i="28"/>
  <c r="C349" i="28"/>
  <c r="D349" i="28"/>
  <c r="E349" i="28"/>
  <c r="F349" i="28"/>
  <c r="I349" i="28"/>
  <c r="B357" i="28"/>
  <c r="C357" i="28"/>
  <c r="D357" i="28"/>
  <c r="E357" i="28"/>
  <c r="F357" i="28"/>
  <c r="I357" i="28"/>
  <c r="B365" i="28"/>
  <c r="C365" i="28"/>
  <c r="D365" i="28"/>
  <c r="E365" i="28"/>
  <c r="F365" i="28"/>
  <c r="I365" i="28"/>
  <c r="B373" i="28"/>
  <c r="C373" i="28"/>
  <c r="D373" i="28"/>
  <c r="E373" i="28"/>
  <c r="F373" i="28"/>
  <c r="I373" i="28"/>
  <c r="B381" i="28"/>
  <c r="C381" i="28"/>
  <c r="D381" i="28"/>
  <c r="E381" i="28"/>
  <c r="F381" i="28"/>
  <c r="I381" i="28"/>
  <c r="A382" i="28"/>
  <c r="A390" i="28" s="1"/>
  <c r="A398" i="28" s="1"/>
  <c r="A406" i="28" s="1"/>
  <c r="A414" i="28" s="1"/>
  <c r="A422" i="28" s="1"/>
  <c r="A430" i="28" s="1"/>
  <c r="A438" i="28" s="1"/>
  <c r="A446" i="28" s="1"/>
  <c r="A454" i="28" s="1"/>
  <c r="A462" i="28" s="1"/>
  <c r="A470" i="28" s="1"/>
  <c r="A478" i="28" s="1"/>
  <c r="A486" i="28" s="1"/>
  <c r="A494" i="28" s="1"/>
  <c r="A502" i="28" s="1"/>
  <c r="A510" i="28" s="1"/>
  <c r="A518" i="28" s="1"/>
  <c r="A526" i="28" s="1"/>
  <c r="A534" i="28" s="1"/>
  <c r="A542" i="28" s="1"/>
  <c r="A550" i="28" s="1"/>
  <c r="A558" i="28" s="1"/>
  <c r="A566" i="28" s="1"/>
  <c r="A574" i="28" s="1"/>
  <c r="A582" i="28" s="1"/>
  <c r="A590" i="28" s="1"/>
  <c r="B389" i="28"/>
  <c r="C389" i="28"/>
  <c r="D389" i="28"/>
  <c r="E389" i="28"/>
  <c r="F389" i="28"/>
  <c r="I389" i="28"/>
  <c r="B397" i="28"/>
  <c r="C397" i="28"/>
  <c r="D397" i="28"/>
  <c r="E397" i="28"/>
  <c r="F397" i="28"/>
  <c r="I397" i="28"/>
  <c r="B405" i="28"/>
  <c r="C405" i="28"/>
  <c r="D405" i="28"/>
  <c r="E405" i="28"/>
  <c r="F405" i="28"/>
  <c r="I405" i="28"/>
  <c r="B413" i="28"/>
  <c r="C413" i="28"/>
  <c r="D413" i="28"/>
  <c r="E413" i="28"/>
  <c r="F413" i="28"/>
  <c r="I413" i="28"/>
  <c r="B421" i="28"/>
  <c r="C421" i="28"/>
  <c r="D421" i="28"/>
  <c r="E421" i="28"/>
  <c r="F421" i="28"/>
  <c r="I421" i="28"/>
  <c r="B429" i="28"/>
  <c r="C429" i="28"/>
  <c r="D429" i="28"/>
  <c r="E429" i="28"/>
  <c r="F429" i="28"/>
  <c r="I429" i="28"/>
  <c r="B437" i="28"/>
  <c r="C437" i="28"/>
  <c r="D437" i="28"/>
  <c r="E437" i="28"/>
  <c r="F437" i="28"/>
  <c r="I437" i="28"/>
  <c r="B445" i="28"/>
  <c r="C445" i="28"/>
  <c r="D445" i="28"/>
  <c r="E445" i="28"/>
  <c r="F445" i="28"/>
  <c r="I445" i="28"/>
  <c r="B453" i="28"/>
  <c r="C453" i="28"/>
  <c r="D453" i="28"/>
  <c r="E453" i="28"/>
  <c r="F453" i="28"/>
  <c r="I453" i="28"/>
  <c r="B461" i="28"/>
  <c r="C461" i="28"/>
  <c r="D461" i="28"/>
  <c r="E461" i="28"/>
  <c r="F461" i="28"/>
  <c r="I461" i="28"/>
  <c r="B469" i="28"/>
  <c r="C469" i="28"/>
  <c r="D469" i="28"/>
  <c r="E469" i="28"/>
  <c r="F469" i="28"/>
  <c r="I469" i="28"/>
  <c r="B477" i="28"/>
  <c r="C477" i="28"/>
  <c r="D477" i="28"/>
  <c r="E477" i="28"/>
  <c r="F477" i="28"/>
  <c r="I477" i="28"/>
  <c r="B485" i="28"/>
  <c r="C485" i="28"/>
  <c r="D485" i="28"/>
  <c r="E485" i="28"/>
  <c r="F485" i="28"/>
  <c r="I485" i="28"/>
  <c r="B493" i="28"/>
  <c r="C493" i="28"/>
  <c r="D493" i="28"/>
  <c r="E493" i="28"/>
  <c r="F493" i="28"/>
  <c r="I493" i="28"/>
  <c r="B501" i="28"/>
  <c r="C501" i="28"/>
  <c r="D501" i="28"/>
  <c r="E501" i="28"/>
  <c r="F501" i="28"/>
  <c r="I501" i="28"/>
  <c r="B509" i="28"/>
  <c r="C509" i="28"/>
  <c r="D509" i="28"/>
  <c r="E509" i="28"/>
  <c r="F509" i="28"/>
  <c r="I509" i="28"/>
  <c r="B517" i="28"/>
  <c r="C517" i="28"/>
  <c r="D517" i="28"/>
  <c r="E517" i="28"/>
  <c r="F517" i="28"/>
  <c r="I517" i="28"/>
  <c r="B525" i="28"/>
  <c r="C525" i="28"/>
  <c r="D525" i="28"/>
  <c r="E525" i="28"/>
  <c r="F525" i="28"/>
  <c r="I525" i="28"/>
  <c r="B533" i="28"/>
  <c r="C533" i="28"/>
  <c r="D533" i="28"/>
  <c r="E533" i="28"/>
  <c r="F533" i="28"/>
  <c r="I533" i="28"/>
  <c r="B541" i="28"/>
  <c r="C541" i="28"/>
  <c r="D541" i="28"/>
  <c r="E541" i="28"/>
  <c r="F541" i="28"/>
  <c r="I541" i="28"/>
  <c r="B549" i="28"/>
  <c r="C549" i="28"/>
  <c r="D549" i="28"/>
  <c r="E549" i="28"/>
  <c r="F549" i="28"/>
  <c r="I549" i="28"/>
  <c r="B557" i="28"/>
  <c r="C557" i="28"/>
  <c r="D557" i="28"/>
  <c r="E557" i="28"/>
  <c r="F557" i="28"/>
  <c r="I557" i="28"/>
  <c r="B565" i="28"/>
  <c r="C565" i="28"/>
  <c r="D565" i="28"/>
  <c r="E565" i="28"/>
  <c r="F565" i="28"/>
  <c r="I565" i="28"/>
  <c r="B573" i="28"/>
  <c r="C573" i="28"/>
  <c r="D573" i="28"/>
  <c r="E573" i="28"/>
  <c r="F573" i="28"/>
  <c r="I573" i="28"/>
  <c r="B581" i="28"/>
  <c r="C581" i="28"/>
  <c r="D581" i="28"/>
  <c r="E581" i="28"/>
  <c r="F581" i="28"/>
  <c r="I581" i="28"/>
  <c r="B589" i="28"/>
  <c r="C589" i="28"/>
  <c r="D589" i="28"/>
  <c r="E589" i="28"/>
  <c r="F589" i="28"/>
  <c r="I589" i="28"/>
  <c r="B597" i="28"/>
  <c r="C597" i="28"/>
  <c r="D597" i="28"/>
  <c r="E597" i="28"/>
  <c r="F597" i="28"/>
  <c r="I597" i="28"/>
  <c r="F3" i="9"/>
  <c r="F4" i="9"/>
  <c r="R4" i="9"/>
  <c r="B11" i="9" s="1"/>
  <c r="F5" i="9"/>
  <c r="R5" i="9"/>
  <c r="G11" i="9" s="1"/>
  <c r="R11" i="9" s="1"/>
  <c r="R6" i="9"/>
  <c r="P11" i="9"/>
  <c r="H12" i="9"/>
  <c r="I12" i="9" s="1"/>
  <c r="P12" i="9"/>
  <c r="H13" i="9"/>
  <c r="O13" i="9" s="1"/>
  <c r="P13" i="9"/>
  <c r="Q13" i="9" s="1"/>
  <c r="H14" i="9"/>
  <c r="O14" i="9" s="1"/>
  <c r="P14" i="9"/>
  <c r="Q14" i="9" s="1"/>
  <c r="H15" i="9"/>
  <c r="O15" i="9" s="1"/>
  <c r="H16" i="9"/>
  <c r="O16" i="9" s="1"/>
  <c r="P16" i="9"/>
  <c r="Q16" i="9" s="1"/>
  <c r="H17" i="9"/>
  <c r="I17" i="9" s="1"/>
  <c r="L17" i="9" s="1"/>
  <c r="B9" i="66" s="1"/>
  <c r="P17" i="9"/>
  <c r="Q17" i="9" s="1"/>
  <c r="H18" i="9"/>
  <c r="O18" i="9" s="1"/>
  <c r="P18" i="9"/>
  <c r="Q18" i="9" s="1"/>
  <c r="H19" i="9"/>
  <c r="O19" i="9" s="1"/>
  <c r="P19" i="9"/>
  <c r="Q19" i="9" s="1"/>
  <c r="H20" i="9"/>
  <c r="O20" i="9" s="1"/>
  <c r="P20" i="9"/>
  <c r="Q20" i="9" s="1"/>
  <c r="H21" i="9"/>
  <c r="O21" i="9" s="1"/>
  <c r="P21" i="9"/>
  <c r="Q21" i="9" s="1"/>
  <c r="H22" i="9"/>
  <c r="O22" i="9" s="1"/>
  <c r="P22" i="9"/>
  <c r="Q22" i="9" s="1"/>
  <c r="H23" i="9"/>
  <c r="O23" i="9" s="1"/>
  <c r="P23" i="9"/>
  <c r="Q23" i="9" s="1"/>
  <c r="H24" i="9"/>
  <c r="O24" i="9" s="1"/>
  <c r="P24" i="9"/>
  <c r="Q24" i="9" s="1"/>
  <c r="H25" i="9"/>
  <c r="O25" i="9" s="1"/>
  <c r="P25" i="9"/>
  <c r="Q25" i="9" s="1"/>
  <c r="H26" i="9"/>
  <c r="I26" i="9" s="1"/>
  <c r="L26" i="9" s="1"/>
  <c r="B18" i="66" s="1"/>
  <c r="P26" i="9"/>
  <c r="Q26" i="9" s="1"/>
  <c r="H27" i="9"/>
  <c r="I27" i="9" s="1"/>
  <c r="L27" i="9" s="1"/>
  <c r="B19" i="66" s="1"/>
  <c r="P27" i="9"/>
  <c r="Q27" i="9" s="1"/>
  <c r="H28" i="9"/>
  <c r="O28" i="9" s="1"/>
  <c r="P28" i="9"/>
  <c r="Q28" i="9" s="1"/>
  <c r="D10" i="38"/>
  <c r="D11" i="38"/>
  <c r="H11" i="38"/>
  <c r="D12" i="38"/>
  <c r="H12" i="38"/>
  <c r="A114" i="38"/>
  <c r="A121" i="38"/>
  <c r="A128" i="38"/>
  <c r="A135" i="38"/>
  <c r="A142" i="38"/>
  <c r="D11" i="9" l="1"/>
  <c r="E12" i="9"/>
  <c r="F12" i="9" s="1"/>
  <c r="G12" i="9"/>
  <c r="L12" i="9"/>
  <c r="B4" i="66" s="1"/>
  <c r="S3" i="63"/>
  <c r="S1" i="63" s="1"/>
  <c r="F7" i="28"/>
  <c r="S8" i="27"/>
  <c r="M8" i="27"/>
  <c r="M6" i="27"/>
  <c r="G13" i="27"/>
  <c r="K13" i="27"/>
  <c r="S7" i="27"/>
  <c r="H13" i="27"/>
  <c r="S6" i="27"/>
  <c r="J13" i="27"/>
  <c r="S5" i="27"/>
  <c r="M7" i="27"/>
  <c r="M5" i="27"/>
  <c r="A3" i="27"/>
  <c r="F7" i="49"/>
  <c r="G10" i="27"/>
  <c r="I20" i="9"/>
  <c r="L20" i="9" s="1"/>
  <c r="B12" i="66" s="1"/>
  <c r="C30" i="55"/>
  <c r="C21" i="55"/>
  <c r="C22" i="55"/>
  <c r="F11" i="9"/>
  <c r="D26" i="9"/>
  <c r="G26" i="9"/>
  <c r="E26" i="9"/>
  <c r="F26" i="9" s="1"/>
  <c r="E22" i="9"/>
  <c r="F22" i="9" s="1"/>
  <c r="G22" i="9"/>
  <c r="D18" i="9"/>
  <c r="G18" i="9"/>
  <c r="E18" i="9"/>
  <c r="F18" i="9" s="1"/>
  <c r="D25" i="9"/>
  <c r="G25" i="9"/>
  <c r="E25" i="9"/>
  <c r="F25" i="9" s="1"/>
  <c r="D21" i="9"/>
  <c r="E21" i="9"/>
  <c r="F21" i="9" s="1"/>
  <c r="G21" i="9"/>
  <c r="D17" i="9"/>
  <c r="G17" i="9"/>
  <c r="E17" i="9"/>
  <c r="F17" i="9" s="1"/>
  <c r="G28" i="9"/>
  <c r="E28" i="9"/>
  <c r="F28" i="9" s="1"/>
  <c r="D24" i="9"/>
  <c r="G24" i="9"/>
  <c r="E24" i="9"/>
  <c r="F24" i="9" s="1"/>
  <c r="D20" i="9"/>
  <c r="G20" i="9"/>
  <c r="E20" i="9"/>
  <c r="F20" i="9" s="1"/>
  <c r="D27" i="9"/>
  <c r="E27" i="9"/>
  <c r="F27" i="9" s="1"/>
  <c r="G27" i="9"/>
  <c r="E23" i="9"/>
  <c r="F23" i="9" s="1"/>
  <c r="G23" i="9"/>
  <c r="D19" i="9"/>
  <c r="E19" i="9"/>
  <c r="F19" i="9" s="1"/>
  <c r="G19" i="9"/>
  <c r="B22" i="28"/>
  <c r="B17" i="27" s="1"/>
  <c r="B27" i="15"/>
  <c r="V13" i="27"/>
  <c r="Z13" i="27"/>
  <c r="R10" i="9"/>
  <c r="P10" i="9"/>
  <c r="X11" i="27"/>
  <c r="C16" i="38"/>
  <c r="G11" i="49"/>
  <c r="G9" i="49"/>
  <c r="AB10" i="27"/>
  <c r="H11" i="49"/>
  <c r="AA13" i="27"/>
  <c r="I12" i="28"/>
  <c r="I13" i="9"/>
  <c r="L13" i="9" s="1"/>
  <c r="B5" i="66" s="1"/>
  <c r="D15" i="9"/>
  <c r="D14" i="9"/>
  <c r="D13" i="9"/>
  <c r="O17" i="9"/>
  <c r="D16" i="9"/>
  <c r="I22" i="9"/>
  <c r="L22" i="9" s="1"/>
  <c r="B14" i="66" s="1"/>
  <c r="I18" i="9"/>
  <c r="L18" i="9" s="1"/>
  <c r="B10" i="66" s="1"/>
  <c r="O27" i="9"/>
  <c r="I11" i="9"/>
  <c r="I21" i="9"/>
  <c r="L21" i="9" s="1"/>
  <c r="B13" i="66" s="1"/>
  <c r="I19" i="9"/>
  <c r="L19" i="9" s="1"/>
  <c r="B11" i="66" s="1"/>
  <c r="O26" i="9"/>
  <c r="O12" i="9"/>
  <c r="I14" i="9"/>
  <c r="L14" i="9" s="1"/>
  <c r="B6" i="66" s="1"/>
  <c r="I24" i="9"/>
  <c r="L24" i="9" s="1"/>
  <c r="B16" i="66" s="1"/>
  <c r="C10" i="9"/>
  <c r="D12" i="50"/>
  <c r="F13" i="27"/>
  <c r="Q10" i="9"/>
  <c r="A4" i="49"/>
  <c r="B19" i="15"/>
  <c r="B38" i="15"/>
  <c r="B21" i="15"/>
  <c r="E15" i="38"/>
  <c r="O10" i="9"/>
  <c r="C9" i="49"/>
  <c r="B39" i="15"/>
  <c r="AB13" i="27"/>
  <c r="F9" i="49"/>
  <c r="U13" i="27"/>
  <c r="D13" i="27"/>
  <c r="F9" i="50"/>
  <c r="J6" i="50"/>
  <c r="I9" i="49"/>
  <c r="F6" i="28"/>
  <c r="A6" i="28"/>
  <c r="G12" i="50"/>
  <c r="B10" i="27"/>
  <c r="B23" i="15"/>
  <c r="B8" i="9"/>
  <c r="AF13" i="27"/>
  <c r="Q11" i="27"/>
  <c r="W13" i="27"/>
  <c r="A5" i="28"/>
  <c r="I16" i="9"/>
  <c r="L16" i="9" s="1"/>
  <c r="B8" i="66" s="1"/>
  <c r="D12" i="9"/>
  <c r="I28" i="9"/>
  <c r="L28" i="9" s="1"/>
  <c r="I15" i="9"/>
  <c r="I23" i="9"/>
  <c r="L23" i="9" s="1"/>
  <c r="B15" i="66" s="1"/>
  <c r="I25" i="9"/>
  <c r="L25" i="9" s="1"/>
  <c r="B17" i="66" s="1"/>
  <c r="A4" i="28"/>
  <c r="S11" i="27"/>
  <c r="M11" i="27"/>
  <c r="B41" i="15"/>
  <c r="A13" i="27"/>
  <c r="A11" i="38"/>
  <c r="D9" i="49"/>
  <c r="G10" i="9"/>
  <c r="M4" i="9"/>
  <c r="B24" i="15"/>
  <c r="D15" i="38"/>
  <c r="C5" i="9"/>
  <c r="B22" i="15"/>
  <c r="C12" i="50"/>
  <c r="F11" i="38"/>
  <c r="C4" i="9"/>
  <c r="E9" i="49"/>
  <c r="A7" i="28"/>
  <c r="F4" i="49"/>
  <c r="H8" i="9"/>
  <c r="Q13" i="27"/>
  <c r="A2" i="49"/>
  <c r="AD13" i="27"/>
  <c r="O11" i="27"/>
  <c r="H12" i="50"/>
  <c r="B12" i="50"/>
  <c r="F13" i="38"/>
  <c r="G15" i="38"/>
  <c r="M5" i="9"/>
  <c r="H15" i="38"/>
  <c r="A5" i="49"/>
  <c r="A12" i="38"/>
  <c r="J12" i="50"/>
  <c r="A10" i="38"/>
  <c r="F7" i="50"/>
  <c r="B35" i="15"/>
  <c r="E12" i="50"/>
  <c r="U10" i="27"/>
  <c r="F5" i="28"/>
  <c r="F8" i="50"/>
  <c r="H9" i="49"/>
  <c r="C1" i="9"/>
  <c r="C15" i="38"/>
  <c r="C8" i="9"/>
  <c r="B32" i="15"/>
  <c r="A6" i="50"/>
  <c r="AH10" i="27"/>
  <c r="B37" i="15"/>
  <c r="A7" i="49"/>
  <c r="B34" i="15"/>
  <c r="B33" i="15"/>
  <c r="C3" i="9"/>
  <c r="B36" i="15"/>
  <c r="D10" i="9"/>
  <c r="F5" i="49"/>
  <c r="B9" i="49"/>
  <c r="L12" i="50"/>
  <c r="B31" i="15"/>
  <c r="A9" i="50"/>
  <c r="F6" i="49"/>
  <c r="C10" i="27"/>
  <c r="A6" i="49"/>
  <c r="A7" i="50"/>
  <c r="O13" i="27"/>
  <c r="A8" i="50"/>
  <c r="F12" i="50"/>
  <c r="M13" i="27"/>
  <c r="I12" i="50"/>
  <c r="B25" i="15"/>
  <c r="F6" i="50"/>
  <c r="F10" i="9"/>
  <c r="M6" i="9"/>
  <c r="S13" i="27"/>
  <c r="L10" i="9"/>
  <c r="F15" i="38"/>
  <c r="C13" i="27"/>
  <c r="A1" i="28"/>
  <c r="T10" i="9"/>
  <c r="E10" i="9"/>
  <c r="B26" i="15"/>
  <c r="P8" i="9"/>
  <c r="B29" i="15"/>
  <c r="F4" i="28"/>
  <c r="A8" i="38"/>
  <c r="N10" i="9"/>
  <c r="M10" i="27"/>
  <c r="Y13" i="27"/>
  <c r="F12" i="38"/>
  <c r="AD11" i="27"/>
  <c r="B40" i="15"/>
  <c r="B16" i="27"/>
  <c r="B12" i="9"/>
  <c r="B13" i="9" s="1"/>
  <c r="B14" i="9" s="1"/>
  <c r="B15" i="9" s="1"/>
  <c r="B16" i="9" s="1"/>
  <c r="B17" i="9" s="1"/>
  <c r="B18" i="9" s="1"/>
  <c r="B19" i="9" s="1"/>
  <c r="B20" i="9" s="1"/>
  <c r="B21" i="9" s="1"/>
  <c r="B22" i="9" s="1"/>
  <c r="B23" i="9" s="1"/>
  <c r="B24" i="9" s="1"/>
  <c r="B25" i="9" s="1"/>
  <c r="B26" i="9" s="1"/>
  <c r="B27" i="9" s="1"/>
  <c r="B28" i="9" s="1"/>
  <c r="H4" i="49"/>
  <c r="B8" i="63" l="1"/>
  <c r="O26" i="63"/>
  <c r="S28" i="9" s="1"/>
  <c r="Q24" i="63"/>
  <c r="T22" i="67" s="1"/>
  <c r="N26" i="9" s="1"/>
  <c r="P23" i="63"/>
  <c r="S21" i="67" s="1"/>
  <c r="M25" i="9" s="1"/>
  <c r="O22" i="63"/>
  <c r="Q20" i="63"/>
  <c r="T18" i="67" s="1"/>
  <c r="N22" i="9" s="1"/>
  <c r="P19" i="63"/>
  <c r="S17" i="67" s="1"/>
  <c r="M21" i="9" s="1"/>
  <c r="O18" i="63"/>
  <c r="S20" i="9" s="1"/>
  <c r="Q16" i="63"/>
  <c r="T14" i="67" s="1"/>
  <c r="Q61" i="67" s="1"/>
  <c r="P15" i="63"/>
  <c r="S13" i="67" s="1"/>
  <c r="P54" i="67" s="1"/>
  <c r="O14" i="63"/>
  <c r="S16" i="9" s="1"/>
  <c r="Q12" i="63"/>
  <c r="T10" i="67" s="1"/>
  <c r="N14" i="9" s="1"/>
  <c r="P11" i="63"/>
  <c r="S9" i="67" s="1"/>
  <c r="M13" i="9" s="1"/>
  <c r="O10" i="63"/>
  <c r="S12" i="9" s="1"/>
  <c r="Q8" i="63"/>
  <c r="T6" i="67" s="1"/>
  <c r="Q6" i="67" s="1"/>
  <c r="C9" i="63"/>
  <c r="G9" i="63"/>
  <c r="AB7" i="40" s="1"/>
  <c r="K9" i="63"/>
  <c r="D10" i="63"/>
  <c r="E8" i="40" s="1"/>
  <c r="F8" i="40" s="1"/>
  <c r="G8" i="40" s="1"/>
  <c r="H8" i="40" s="1"/>
  <c r="I8" i="40" s="1"/>
  <c r="J8" i="40" s="1"/>
  <c r="K8" i="40" s="1"/>
  <c r="L8" i="40" s="1"/>
  <c r="M8" i="40" s="1"/>
  <c r="N8" i="40" s="1"/>
  <c r="O8" i="40" s="1"/>
  <c r="P8" i="40" s="1"/>
  <c r="Q8" i="40" s="1"/>
  <c r="R8" i="40" s="1"/>
  <c r="S8" i="40" s="1"/>
  <c r="H10" i="63"/>
  <c r="L10" i="63"/>
  <c r="E11" i="63"/>
  <c r="C9" i="40" s="1"/>
  <c r="I11" i="63"/>
  <c r="R19" i="27" s="1"/>
  <c r="B12" i="63"/>
  <c r="AM10" i="40" s="1"/>
  <c r="AK10" i="40" s="1"/>
  <c r="F12" i="63"/>
  <c r="J12" i="63"/>
  <c r="T20" i="27" s="1"/>
  <c r="C13" i="63"/>
  <c r="G13" i="63"/>
  <c r="AB11" i="40" s="1"/>
  <c r="AA11" i="40" s="1"/>
  <c r="Z11" i="40" s="1"/>
  <c r="Y11" i="40" s="1"/>
  <c r="X11" i="40" s="1"/>
  <c r="W11" i="40" s="1"/>
  <c r="V11" i="40" s="1"/>
  <c r="U11" i="40" s="1"/>
  <c r="K13" i="63"/>
  <c r="D14" i="63"/>
  <c r="I22" i="27" s="1"/>
  <c r="H14" i="63"/>
  <c r="L14" i="63"/>
  <c r="E15" i="63"/>
  <c r="I15" i="63"/>
  <c r="R23" i="27" s="1"/>
  <c r="B16" i="63"/>
  <c r="AM14" i="40" s="1"/>
  <c r="AK14" i="40" s="1"/>
  <c r="F16" i="63"/>
  <c r="L24" i="27" s="1"/>
  <c r="J16" i="63"/>
  <c r="T24" i="27" s="1"/>
  <c r="C17" i="63"/>
  <c r="G17" i="63"/>
  <c r="N25" i="27" s="1"/>
  <c r="K17" i="63"/>
  <c r="D18" i="63"/>
  <c r="E16" i="40" s="1"/>
  <c r="F16" i="40" s="1"/>
  <c r="G16" i="40" s="1"/>
  <c r="H16" i="40" s="1"/>
  <c r="I16" i="40" s="1"/>
  <c r="J16" i="40" s="1"/>
  <c r="K16" i="40" s="1"/>
  <c r="L16" i="40" s="1"/>
  <c r="M16" i="40" s="1"/>
  <c r="N16" i="40" s="1"/>
  <c r="O16" i="40" s="1"/>
  <c r="P16" i="40" s="1"/>
  <c r="Q16" i="40" s="1"/>
  <c r="R16" i="40" s="1"/>
  <c r="S16" i="40" s="1"/>
  <c r="H18" i="63"/>
  <c r="L18" i="63"/>
  <c r="E19" i="63"/>
  <c r="C17" i="40" s="1"/>
  <c r="I19" i="63"/>
  <c r="B20" i="63"/>
  <c r="AM18" i="40" s="1"/>
  <c r="AK18" i="40" s="1"/>
  <c r="F20" i="63"/>
  <c r="L28" i="27" s="1"/>
  <c r="E17" i="50" s="1"/>
  <c r="J20" i="63"/>
  <c r="T28" i="27" s="1"/>
  <c r="C21" i="63"/>
  <c r="G21" i="63"/>
  <c r="AB19" i="40" s="1"/>
  <c r="K21" i="63"/>
  <c r="D22" i="63"/>
  <c r="E20" i="40" s="1"/>
  <c r="F20" i="40" s="1"/>
  <c r="G20" i="40" s="1"/>
  <c r="H20" i="40" s="1"/>
  <c r="I20" i="40" s="1"/>
  <c r="J20" i="40" s="1"/>
  <c r="K20" i="40" s="1"/>
  <c r="L20" i="40" s="1"/>
  <c r="M20" i="40" s="1"/>
  <c r="N20" i="40" s="1"/>
  <c r="O20" i="40" s="1"/>
  <c r="P20" i="40" s="1"/>
  <c r="Q20" i="40" s="1"/>
  <c r="R20" i="40" s="1"/>
  <c r="S20" i="40" s="1"/>
  <c r="H22" i="63"/>
  <c r="L22" i="63"/>
  <c r="E23" i="63"/>
  <c r="C21" i="40" s="1"/>
  <c r="I23" i="63"/>
  <c r="R31" i="27" s="1"/>
  <c r="B24" i="63"/>
  <c r="AM22" i="40" s="1"/>
  <c r="AK22" i="40" s="1"/>
  <c r="F24" i="63"/>
  <c r="L32" i="27" s="1"/>
  <c r="J24" i="63"/>
  <c r="T32" i="27" s="1"/>
  <c r="C25" i="63"/>
  <c r="G25" i="63"/>
  <c r="AB23" i="40" s="1"/>
  <c r="K25" i="63"/>
  <c r="D26" i="63"/>
  <c r="E24" i="40" s="1"/>
  <c r="F24" i="40" s="1"/>
  <c r="G24" i="40" s="1"/>
  <c r="H24" i="40" s="1"/>
  <c r="I24" i="40" s="1"/>
  <c r="J24" i="40" s="1"/>
  <c r="K24" i="40" s="1"/>
  <c r="L24" i="40" s="1"/>
  <c r="M24" i="40" s="1"/>
  <c r="N24" i="40" s="1"/>
  <c r="O24" i="40" s="1"/>
  <c r="P24" i="40" s="1"/>
  <c r="Q24" i="40" s="1"/>
  <c r="R24" i="40" s="1"/>
  <c r="S24" i="40" s="1"/>
  <c r="H26" i="63"/>
  <c r="L26" i="63"/>
  <c r="E27" i="63"/>
  <c r="C25" i="40" s="1"/>
  <c r="I27" i="63"/>
  <c r="R35" i="27" s="1"/>
  <c r="B28" i="63"/>
  <c r="AM26" i="40" s="1"/>
  <c r="AK26" i="40" s="1"/>
  <c r="Q25" i="63"/>
  <c r="T23" i="67" s="1"/>
  <c r="O24" i="63"/>
  <c r="S26" i="9" s="1"/>
  <c r="P22" i="63"/>
  <c r="S20" i="67" s="1"/>
  <c r="P103" i="67" s="1"/>
  <c r="P20" i="63"/>
  <c r="S18" i="67" s="1"/>
  <c r="P89" i="67" s="1"/>
  <c r="Q18" i="63"/>
  <c r="T16" i="67" s="1"/>
  <c r="Q75" i="67" s="1"/>
  <c r="O17" i="63"/>
  <c r="S19" i="9" s="1"/>
  <c r="O15" i="63"/>
  <c r="S17" i="9" s="1"/>
  <c r="P13" i="63"/>
  <c r="S11" i="67" s="1"/>
  <c r="M15" i="9" s="1"/>
  <c r="Q11" i="63"/>
  <c r="T9" i="67" s="1"/>
  <c r="N13" i="9" s="1"/>
  <c r="Q9" i="63"/>
  <c r="T7" i="67" s="1"/>
  <c r="N11" i="9" s="1"/>
  <c r="O8" i="63"/>
  <c r="F9" i="63"/>
  <c r="L17" i="27" s="1"/>
  <c r="L9" i="63"/>
  <c r="F10" i="63"/>
  <c r="L18" i="27" s="1"/>
  <c r="E15" i="50" s="1"/>
  <c r="K10" i="63"/>
  <c r="F11" i="63"/>
  <c r="L19" i="27" s="1"/>
  <c r="K11" i="63"/>
  <c r="E12" i="63"/>
  <c r="C10" i="40" s="1"/>
  <c r="K12" i="63"/>
  <c r="E13" i="63"/>
  <c r="C11" i="40" s="1"/>
  <c r="J13" i="63"/>
  <c r="T21" i="27" s="1"/>
  <c r="E14" i="63"/>
  <c r="C12" i="40" s="1"/>
  <c r="J14" i="63"/>
  <c r="T22" i="27" s="1"/>
  <c r="D15" i="63"/>
  <c r="E13" i="40" s="1"/>
  <c r="F13" i="40" s="1"/>
  <c r="G13" i="40" s="1"/>
  <c r="H13" i="40" s="1"/>
  <c r="I13" i="40" s="1"/>
  <c r="J13" i="40" s="1"/>
  <c r="K13" i="40" s="1"/>
  <c r="L13" i="40" s="1"/>
  <c r="M13" i="40" s="1"/>
  <c r="N13" i="40" s="1"/>
  <c r="O13" i="40" s="1"/>
  <c r="P13" i="40" s="1"/>
  <c r="Q13" i="40" s="1"/>
  <c r="R13" i="40" s="1"/>
  <c r="S13" i="40" s="1"/>
  <c r="J15" i="63"/>
  <c r="D16" i="63"/>
  <c r="E14" i="40" s="1"/>
  <c r="F14" i="40" s="1"/>
  <c r="G14" i="40" s="1"/>
  <c r="H14" i="40" s="1"/>
  <c r="I14" i="40" s="1"/>
  <c r="J14" i="40" s="1"/>
  <c r="K14" i="40" s="1"/>
  <c r="L14" i="40" s="1"/>
  <c r="M14" i="40" s="1"/>
  <c r="N14" i="40" s="1"/>
  <c r="O14" i="40" s="1"/>
  <c r="P14" i="40" s="1"/>
  <c r="Q14" i="40" s="1"/>
  <c r="R14" i="40" s="1"/>
  <c r="S14" i="40" s="1"/>
  <c r="I16" i="63"/>
  <c r="R24" i="27" s="1"/>
  <c r="D17" i="63"/>
  <c r="E15" i="40" s="1"/>
  <c r="F15" i="40" s="1"/>
  <c r="G15" i="40" s="1"/>
  <c r="H15" i="40" s="1"/>
  <c r="I15" i="40" s="1"/>
  <c r="J15" i="40" s="1"/>
  <c r="K15" i="40" s="1"/>
  <c r="L15" i="40" s="1"/>
  <c r="M15" i="40" s="1"/>
  <c r="N15" i="40" s="1"/>
  <c r="O15" i="40" s="1"/>
  <c r="P15" i="40" s="1"/>
  <c r="Q15" i="40" s="1"/>
  <c r="R15" i="40" s="1"/>
  <c r="S15" i="40" s="1"/>
  <c r="I17" i="63"/>
  <c r="R25" i="27" s="1"/>
  <c r="C18" i="63"/>
  <c r="I18" i="63"/>
  <c r="R26" i="27" s="1"/>
  <c r="C19" i="63"/>
  <c r="H19" i="63"/>
  <c r="C20" i="63"/>
  <c r="H20" i="63"/>
  <c r="B21" i="63"/>
  <c r="AM19" i="40" s="1"/>
  <c r="AK19" i="40" s="1"/>
  <c r="H21" i="63"/>
  <c r="B22" i="63"/>
  <c r="AM20" i="40" s="1"/>
  <c r="AK20" i="40" s="1"/>
  <c r="G22" i="63"/>
  <c r="N30" i="27" s="1"/>
  <c r="B23" i="63"/>
  <c r="AM21" i="40" s="1"/>
  <c r="AK21" i="40" s="1"/>
  <c r="G23" i="63"/>
  <c r="AB21" i="40" s="1"/>
  <c r="AA21" i="40" s="1"/>
  <c r="Z21" i="40" s="1"/>
  <c r="Y21" i="40" s="1"/>
  <c r="X21" i="40" s="1"/>
  <c r="W21" i="40" s="1"/>
  <c r="V21" i="40" s="1"/>
  <c r="U21" i="40" s="1"/>
  <c r="L23" i="63"/>
  <c r="G24" i="63"/>
  <c r="N32" i="27" s="1"/>
  <c r="L24" i="63"/>
  <c r="F25" i="63"/>
  <c r="L33" i="27" s="1"/>
  <c r="E18" i="50" s="1"/>
  <c r="L25" i="63"/>
  <c r="F26" i="63"/>
  <c r="L34" i="27" s="1"/>
  <c r="K26" i="63"/>
  <c r="F27" i="63"/>
  <c r="L35" i="27" s="1"/>
  <c r="K27" i="63"/>
  <c r="E28" i="63"/>
  <c r="C26" i="40" s="1"/>
  <c r="I28" i="63"/>
  <c r="R36" i="27" s="1"/>
  <c r="B29" i="63"/>
  <c r="AM27" i="40" s="1"/>
  <c r="AK27" i="40" s="1"/>
  <c r="F29" i="63"/>
  <c r="L37" i="27" s="1"/>
  <c r="J29" i="63"/>
  <c r="T37" i="27" s="1"/>
  <c r="C30" i="63"/>
  <c r="G30" i="63"/>
  <c r="N38" i="27" s="1"/>
  <c r="G19" i="50" s="1"/>
  <c r="K30" i="63"/>
  <c r="D31" i="63"/>
  <c r="E29" i="40" s="1"/>
  <c r="F29" i="40" s="1"/>
  <c r="G29" i="40" s="1"/>
  <c r="H29" i="40" s="1"/>
  <c r="I29" i="40" s="1"/>
  <c r="J29" i="40" s="1"/>
  <c r="K29" i="40" s="1"/>
  <c r="L29" i="40" s="1"/>
  <c r="M29" i="40" s="1"/>
  <c r="N29" i="40" s="1"/>
  <c r="O29" i="40" s="1"/>
  <c r="P29" i="40" s="1"/>
  <c r="Q29" i="40" s="1"/>
  <c r="R29" i="40" s="1"/>
  <c r="S29" i="40" s="1"/>
  <c r="H31" i="63"/>
  <c r="L31" i="63"/>
  <c r="E32" i="63"/>
  <c r="C30" i="40" s="1"/>
  <c r="I32" i="63"/>
  <c r="R40" i="27" s="1"/>
  <c r="B33" i="63"/>
  <c r="AM31" i="40" s="1"/>
  <c r="AK31" i="40" s="1"/>
  <c r="F33" i="63"/>
  <c r="L41" i="27" s="1"/>
  <c r="J33" i="63"/>
  <c r="T41" i="27" s="1"/>
  <c r="C34" i="63"/>
  <c r="G34" i="63"/>
  <c r="AB32" i="40" s="1"/>
  <c r="K34" i="63"/>
  <c r="D35" i="63"/>
  <c r="E33" i="40" s="1"/>
  <c r="F33" i="40" s="1"/>
  <c r="G33" i="40" s="1"/>
  <c r="H33" i="40" s="1"/>
  <c r="I33" i="40" s="1"/>
  <c r="J33" i="40" s="1"/>
  <c r="K33" i="40" s="1"/>
  <c r="L33" i="40" s="1"/>
  <c r="M33" i="40" s="1"/>
  <c r="N33" i="40" s="1"/>
  <c r="O33" i="40" s="1"/>
  <c r="P33" i="40" s="1"/>
  <c r="Q33" i="40" s="1"/>
  <c r="R33" i="40" s="1"/>
  <c r="S33" i="40" s="1"/>
  <c r="H35" i="63"/>
  <c r="O25" i="63"/>
  <c r="S27" i="9" s="1"/>
  <c r="Q22" i="63"/>
  <c r="T20" i="67" s="1"/>
  <c r="N24" i="9" s="1"/>
  <c r="O20" i="63"/>
  <c r="S22" i="9" s="1"/>
  <c r="Q17" i="63"/>
  <c r="T15" i="67" s="1"/>
  <c r="Q68" i="67" s="1"/>
  <c r="Q15" i="63"/>
  <c r="T13" i="67" s="1"/>
  <c r="N17" i="9" s="1"/>
  <c r="O13" i="63"/>
  <c r="S15" i="9" s="1"/>
  <c r="Q10" i="63"/>
  <c r="T8" i="67" s="1"/>
  <c r="N12" i="9" s="1"/>
  <c r="P8" i="63"/>
  <c r="S6" i="67" s="1"/>
  <c r="P6" i="67" s="1"/>
  <c r="H6" i="67" s="1"/>
  <c r="H9" i="63"/>
  <c r="C10" i="63"/>
  <c r="J10" i="63"/>
  <c r="T18" i="27" s="1"/>
  <c r="G11" i="63"/>
  <c r="N19" i="27" s="1"/>
  <c r="C12" i="63"/>
  <c r="I12" i="63"/>
  <c r="R20" i="27" s="1"/>
  <c r="F13" i="63"/>
  <c r="L21" i="27" s="1"/>
  <c r="B14" i="63"/>
  <c r="AM12" i="40" s="1"/>
  <c r="AK12" i="40" s="1"/>
  <c r="I14" i="63"/>
  <c r="R22" i="27" s="1"/>
  <c r="F15" i="63"/>
  <c r="L23" i="27" s="1"/>
  <c r="E16" i="50" s="1"/>
  <c r="L15" i="63"/>
  <c r="H16" i="63"/>
  <c r="E17" i="63"/>
  <c r="C15" i="40" s="1"/>
  <c r="L17" i="63"/>
  <c r="G18" i="63"/>
  <c r="AB16" i="40" s="1"/>
  <c r="D19" i="63"/>
  <c r="I27" i="27" s="1"/>
  <c r="K19" i="63"/>
  <c r="G20" i="63"/>
  <c r="AB18" i="40" s="1"/>
  <c r="D21" i="63"/>
  <c r="E19" i="40" s="1"/>
  <c r="F19" i="40" s="1"/>
  <c r="G19" i="40" s="1"/>
  <c r="H19" i="40" s="1"/>
  <c r="I19" i="40" s="1"/>
  <c r="J19" i="40" s="1"/>
  <c r="K19" i="40" s="1"/>
  <c r="L19" i="40" s="1"/>
  <c r="M19" i="40" s="1"/>
  <c r="N19" i="40" s="1"/>
  <c r="O19" i="40" s="1"/>
  <c r="P19" i="40" s="1"/>
  <c r="Q19" i="40" s="1"/>
  <c r="R19" i="40" s="1"/>
  <c r="S19" i="40" s="1"/>
  <c r="J21" i="63"/>
  <c r="T29" i="27" s="1"/>
  <c r="F22" i="63"/>
  <c r="L30" i="27" s="1"/>
  <c r="C23" i="63"/>
  <c r="J23" i="63"/>
  <c r="T31" i="27" s="1"/>
  <c r="E24" i="63"/>
  <c r="C22" i="40" s="1"/>
  <c r="B25" i="63"/>
  <c r="AM23" i="40" s="1"/>
  <c r="AK23" i="40" s="1"/>
  <c r="I25" i="63"/>
  <c r="R33" i="27" s="1"/>
  <c r="E26" i="63"/>
  <c r="C24" i="40" s="1"/>
  <c r="B27" i="63"/>
  <c r="AM25" i="40" s="1"/>
  <c r="AK25" i="40" s="1"/>
  <c r="H27" i="63"/>
  <c r="D28" i="63"/>
  <c r="E26" i="40" s="1"/>
  <c r="F26" i="40" s="1"/>
  <c r="G26" i="40" s="1"/>
  <c r="H26" i="40" s="1"/>
  <c r="I26" i="40" s="1"/>
  <c r="J26" i="40" s="1"/>
  <c r="K26" i="40" s="1"/>
  <c r="L26" i="40" s="1"/>
  <c r="M26" i="40" s="1"/>
  <c r="N26" i="40" s="1"/>
  <c r="O26" i="40" s="1"/>
  <c r="P26" i="40" s="1"/>
  <c r="Q26" i="40" s="1"/>
  <c r="R26" i="40" s="1"/>
  <c r="S26" i="40" s="1"/>
  <c r="J28" i="63"/>
  <c r="T36" i="27" s="1"/>
  <c r="D29" i="63"/>
  <c r="I37" i="27" s="1"/>
  <c r="I29" i="63"/>
  <c r="R37" i="27" s="1"/>
  <c r="D30" i="63"/>
  <c r="E28" i="40" s="1"/>
  <c r="F28" i="40" s="1"/>
  <c r="G28" i="40" s="1"/>
  <c r="H28" i="40" s="1"/>
  <c r="I28" i="40" s="1"/>
  <c r="J28" i="40" s="1"/>
  <c r="K28" i="40" s="1"/>
  <c r="L28" i="40" s="1"/>
  <c r="M28" i="40" s="1"/>
  <c r="N28" i="40" s="1"/>
  <c r="O28" i="40" s="1"/>
  <c r="P28" i="40" s="1"/>
  <c r="Q28" i="40" s="1"/>
  <c r="R28" i="40" s="1"/>
  <c r="S28" i="40" s="1"/>
  <c r="I30" i="63"/>
  <c r="R38" i="27" s="1"/>
  <c r="C31" i="63"/>
  <c r="I31" i="63"/>
  <c r="R39" i="27" s="1"/>
  <c r="C32" i="63"/>
  <c r="H32" i="63"/>
  <c r="C33" i="63"/>
  <c r="H33" i="63"/>
  <c r="B34" i="63"/>
  <c r="AM32" i="40" s="1"/>
  <c r="AK32" i="40" s="1"/>
  <c r="H34" i="63"/>
  <c r="B35" i="63"/>
  <c r="AM33" i="40" s="1"/>
  <c r="AK33" i="40" s="1"/>
  <c r="G35" i="63"/>
  <c r="AB33" i="40" s="1"/>
  <c r="AA33" i="40" s="1"/>
  <c r="Z33" i="40" s="1"/>
  <c r="Y33" i="40" s="1"/>
  <c r="X33" i="40" s="1"/>
  <c r="W33" i="40" s="1"/>
  <c r="V33" i="40" s="1"/>
  <c r="U33" i="40" s="1"/>
  <c r="L35" i="63"/>
  <c r="E36" i="63"/>
  <c r="C34" i="40" s="1"/>
  <c r="I36" i="63"/>
  <c r="R44" i="27" s="1"/>
  <c r="B37" i="63"/>
  <c r="AM35" i="40" s="1"/>
  <c r="AK35" i="40" s="1"/>
  <c r="F37" i="63"/>
  <c r="L45" i="27" s="1"/>
  <c r="J37" i="63"/>
  <c r="T45" i="27" s="1"/>
  <c r="C38" i="63"/>
  <c r="G38" i="63"/>
  <c r="AB36" i="40" s="1"/>
  <c r="K38" i="63"/>
  <c r="D39" i="63"/>
  <c r="E37" i="40" s="1"/>
  <c r="F37" i="40" s="1"/>
  <c r="G37" i="40" s="1"/>
  <c r="H37" i="40" s="1"/>
  <c r="I37" i="40" s="1"/>
  <c r="J37" i="40" s="1"/>
  <c r="K37" i="40" s="1"/>
  <c r="L37" i="40" s="1"/>
  <c r="M37" i="40" s="1"/>
  <c r="N37" i="40" s="1"/>
  <c r="O37" i="40" s="1"/>
  <c r="P37" i="40" s="1"/>
  <c r="Q37" i="40" s="1"/>
  <c r="R37" i="40" s="1"/>
  <c r="S37" i="40" s="1"/>
  <c r="H39" i="63"/>
  <c r="L39" i="63"/>
  <c r="E40" i="63"/>
  <c r="C38" i="40" s="1"/>
  <c r="I40" i="63"/>
  <c r="R48" i="27" s="1"/>
  <c r="B41" i="63"/>
  <c r="AM39" i="40" s="1"/>
  <c r="AK39" i="40" s="1"/>
  <c r="F41" i="63"/>
  <c r="L49" i="27" s="1"/>
  <c r="J41" i="63"/>
  <c r="T49" i="27" s="1"/>
  <c r="C42" i="63"/>
  <c r="G42" i="63"/>
  <c r="N50" i="27" s="1"/>
  <c r="K42" i="63"/>
  <c r="D43" i="63"/>
  <c r="E41" i="40" s="1"/>
  <c r="F41" i="40" s="1"/>
  <c r="G41" i="40" s="1"/>
  <c r="H41" i="40" s="1"/>
  <c r="I41" i="40" s="1"/>
  <c r="J41" i="40" s="1"/>
  <c r="K41" i="40" s="1"/>
  <c r="L41" i="40" s="1"/>
  <c r="M41" i="40" s="1"/>
  <c r="N41" i="40" s="1"/>
  <c r="O41" i="40" s="1"/>
  <c r="P41" i="40" s="1"/>
  <c r="Q41" i="40" s="1"/>
  <c r="R41" i="40" s="1"/>
  <c r="S41" i="40" s="1"/>
  <c r="P24" i="63"/>
  <c r="S22" i="67" s="1"/>
  <c r="P117" i="67" s="1"/>
  <c r="P21" i="63"/>
  <c r="S19" i="67" s="1"/>
  <c r="P96" i="67" s="1"/>
  <c r="P18" i="63"/>
  <c r="S16" i="67" s="1"/>
  <c r="P75" i="67" s="1"/>
  <c r="Q14" i="63"/>
  <c r="T12" i="67" s="1"/>
  <c r="Q47" i="67" s="1"/>
  <c r="O12" i="63"/>
  <c r="S14" i="9" s="1"/>
  <c r="O9" i="63"/>
  <c r="S11" i="9" s="1"/>
  <c r="I9" i="63"/>
  <c r="R17" i="27" s="1"/>
  <c r="G10" i="63"/>
  <c r="N18" i="27" s="1"/>
  <c r="G15" i="50" s="1"/>
  <c r="D11" i="63"/>
  <c r="E9" i="40" s="1"/>
  <c r="F9" i="40" s="1"/>
  <c r="G9" i="40" s="1"/>
  <c r="H9" i="40" s="1"/>
  <c r="I9" i="40" s="1"/>
  <c r="J9" i="40" s="1"/>
  <c r="K9" i="40" s="1"/>
  <c r="L9" i="40" s="1"/>
  <c r="M9" i="40" s="1"/>
  <c r="N9" i="40" s="1"/>
  <c r="O9" i="40" s="1"/>
  <c r="P9" i="40" s="1"/>
  <c r="Q9" i="40" s="1"/>
  <c r="R9" i="40" s="1"/>
  <c r="S9" i="40" s="1"/>
  <c r="D12" i="63"/>
  <c r="E10" i="40" s="1"/>
  <c r="F10" i="40" s="1"/>
  <c r="G10" i="40" s="1"/>
  <c r="H10" i="40" s="1"/>
  <c r="I10" i="40" s="1"/>
  <c r="J10" i="40" s="1"/>
  <c r="K10" i="40" s="1"/>
  <c r="L10" i="40" s="1"/>
  <c r="M10" i="40" s="1"/>
  <c r="N10" i="40" s="1"/>
  <c r="O10" i="40" s="1"/>
  <c r="P10" i="40" s="1"/>
  <c r="Q10" i="40" s="1"/>
  <c r="R10" i="40" s="1"/>
  <c r="S10" i="40" s="1"/>
  <c r="B13" i="63"/>
  <c r="AM11" i="40" s="1"/>
  <c r="AK11" i="40" s="1"/>
  <c r="L13" i="63"/>
  <c r="K14" i="63"/>
  <c r="H15" i="63"/>
  <c r="G16" i="63"/>
  <c r="AB14" i="40" s="1"/>
  <c r="F17" i="63"/>
  <c r="L25" i="27" s="1"/>
  <c r="E18" i="63"/>
  <c r="C16" i="40" s="1"/>
  <c r="B19" i="63"/>
  <c r="AM17" i="40" s="1"/>
  <c r="AK17" i="40" s="1"/>
  <c r="L19" i="63"/>
  <c r="K20" i="63"/>
  <c r="I21" i="63"/>
  <c r="R29" i="27" s="1"/>
  <c r="I22" i="63"/>
  <c r="R30" i="27" s="1"/>
  <c r="F23" i="63"/>
  <c r="L31" i="27" s="1"/>
  <c r="D24" i="63"/>
  <c r="I32" i="27" s="1"/>
  <c r="D25" i="63"/>
  <c r="I33" i="27" s="1"/>
  <c r="B26" i="63"/>
  <c r="AM24" i="40" s="1"/>
  <c r="AK24" i="40" s="1"/>
  <c r="J26" i="63"/>
  <c r="T34" i="27" s="1"/>
  <c r="J27" i="63"/>
  <c r="T35" i="27" s="1"/>
  <c r="G28" i="63"/>
  <c r="AB26" i="40" s="1"/>
  <c r="C29" i="63"/>
  <c r="K29" i="63"/>
  <c r="F30" i="63"/>
  <c r="L38" i="27" s="1"/>
  <c r="E19" i="50" s="1"/>
  <c r="B31" i="63"/>
  <c r="AM29" i="40" s="1"/>
  <c r="AK29" i="40" s="1"/>
  <c r="J31" i="63"/>
  <c r="T39" i="27" s="1"/>
  <c r="F32" i="63"/>
  <c r="L40" i="27" s="1"/>
  <c r="L32" i="63"/>
  <c r="I33" i="63"/>
  <c r="R41" i="27" s="1"/>
  <c r="E34" i="63"/>
  <c r="C32" i="40" s="1"/>
  <c r="L34" i="63"/>
  <c r="I35" i="63"/>
  <c r="R43" i="27" s="1"/>
  <c r="C36" i="63"/>
  <c r="H36" i="63"/>
  <c r="C37" i="63"/>
  <c r="H37" i="63"/>
  <c r="B38" i="63"/>
  <c r="AM36" i="40" s="1"/>
  <c r="AK36" i="40" s="1"/>
  <c r="H38" i="63"/>
  <c r="B39" i="63"/>
  <c r="AM37" i="40" s="1"/>
  <c r="AK37" i="40" s="1"/>
  <c r="G39" i="63"/>
  <c r="N47" i="27" s="1"/>
  <c r="B40" i="63"/>
  <c r="AM38" i="40" s="1"/>
  <c r="AK38" i="40" s="1"/>
  <c r="G40" i="63"/>
  <c r="N48" i="27" s="1"/>
  <c r="G21" i="50" s="1"/>
  <c r="L40" i="63"/>
  <c r="G41" i="63"/>
  <c r="N49" i="27" s="1"/>
  <c r="L41" i="63"/>
  <c r="F42" i="63"/>
  <c r="L50" i="27" s="1"/>
  <c r="L42" i="63"/>
  <c r="F43" i="63"/>
  <c r="L51" i="27" s="1"/>
  <c r="J43" i="63"/>
  <c r="T51" i="27" s="1"/>
  <c r="C44" i="63"/>
  <c r="G44" i="63"/>
  <c r="N52" i="27" s="1"/>
  <c r="K44" i="63"/>
  <c r="D45" i="63"/>
  <c r="E43" i="40" s="1"/>
  <c r="F43" i="40" s="1"/>
  <c r="G43" i="40" s="1"/>
  <c r="H43" i="40" s="1"/>
  <c r="I43" i="40" s="1"/>
  <c r="J43" i="40" s="1"/>
  <c r="K43" i="40" s="1"/>
  <c r="L43" i="40" s="1"/>
  <c r="M43" i="40" s="1"/>
  <c r="N43" i="40" s="1"/>
  <c r="O43" i="40" s="1"/>
  <c r="P43" i="40" s="1"/>
  <c r="Q43" i="40" s="1"/>
  <c r="R43" i="40" s="1"/>
  <c r="S43" i="40" s="1"/>
  <c r="H45" i="63"/>
  <c r="L45" i="63"/>
  <c r="E46" i="63"/>
  <c r="C44" i="40" s="1"/>
  <c r="I46" i="63"/>
  <c r="R54" i="27" s="1"/>
  <c r="B47" i="63"/>
  <c r="AM45" i="40" s="1"/>
  <c r="AK45" i="40" s="1"/>
  <c r="F47" i="63"/>
  <c r="L55" i="27" s="1"/>
  <c r="J47" i="63"/>
  <c r="T55" i="27" s="1"/>
  <c r="C48" i="63"/>
  <c r="G48" i="63"/>
  <c r="N56" i="27" s="1"/>
  <c r="K48" i="63"/>
  <c r="D49" i="63"/>
  <c r="E47" i="40" s="1"/>
  <c r="F47" i="40" s="1"/>
  <c r="G47" i="40" s="1"/>
  <c r="H47" i="40" s="1"/>
  <c r="I47" i="40" s="1"/>
  <c r="J47" i="40" s="1"/>
  <c r="K47" i="40" s="1"/>
  <c r="L47" i="40" s="1"/>
  <c r="M47" i="40" s="1"/>
  <c r="N47" i="40" s="1"/>
  <c r="O47" i="40" s="1"/>
  <c r="P47" i="40" s="1"/>
  <c r="Q47" i="40" s="1"/>
  <c r="R47" i="40" s="1"/>
  <c r="S47" i="40" s="1"/>
  <c r="H49" i="63"/>
  <c r="L49" i="63"/>
  <c r="E50" i="63"/>
  <c r="C48" i="40" s="1"/>
  <c r="I50" i="63"/>
  <c r="R58" i="27" s="1"/>
  <c r="B51" i="63"/>
  <c r="AM49" i="40" s="1"/>
  <c r="AK49" i="40" s="1"/>
  <c r="F51" i="63"/>
  <c r="L59" i="27" s="1"/>
  <c r="J51" i="63"/>
  <c r="T59" i="27" s="1"/>
  <c r="C52" i="63"/>
  <c r="G52" i="63"/>
  <c r="N60" i="27" s="1"/>
  <c r="K52" i="63"/>
  <c r="D53" i="63"/>
  <c r="E51" i="40" s="1"/>
  <c r="F51" i="40" s="1"/>
  <c r="G51" i="40" s="1"/>
  <c r="H51" i="40" s="1"/>
  <c r="I51" i="40" s="1"/>
  <c r="J51" i="40" s="1"/>
  <c r="K51" i="40" s="1"/>
  <c r="L51" i="40" s="1"/>
  <c r="M51" i="40" s="1"/>
  <c r="N51" i="40" s="1"/>
  <c r="O51" i="40" s="1"/>
  <c r="P51" i="40" s="1"/>
  <c r="Q51" i="40" s="1"/>
  <c r="R51" i="40" s="1"/>
  <c r="S51" i="40" s="1"/>
  <c r="H53" i="63"/>
  <c r="L53" i="63"/>
  <c r="E54" i="63"/>
  <c r="C52" i="40" s="1"/>
  <c r="I54" i="63"/>
  <c r="R62" i="27" s="1"/>
  <c r="B55" i="63"/>
  <c r="F55" i="63"/>
  <c r="L63" i="27" s="1"/>
  <c r="E24" i="50" s="1"/>
  <c r="J55" i="63"/>
  <c r="T63" i="27" s="1"/>
  <c r="C56" i="63"/>
  <c r="G56" i="63"/>
  <c r="N64" i="27" s="1"/>
  <c r="K56" i="63"/>
  <c r="D57" i="63"/>
  <c r="E55" i="40" s="1"/>
  <c r="F55" i="40" s="1"/>
  <c r="G55" i="40" s="1"/>
  <c r="H55" i="40" s="1"/>
  <c r="I55" i="40" s="1"/>
  <c r="J55" i="40" s="1"/>
  <c r="K55" i="40" s="1"/>
  <c r="L55" i="40" s="1"/>
  <c r="M55" i="40" s="1"/>
  <c r="N55" i="40" s="1"/>
  <c r="O55" i="40" s="1"/>
  <c r="P55" i="40" s="1"/>
  <c r="Q55" i="40" s="1"/>
  <c r="R55" i="40" s="1"/>
  <c r="S55" i="40" s="1"/>
  <c r="H57" i="63"/>
  <c r="L57" i="63"/>
  <c r="E58" i="63"/>
  <c r="C56" i="40" s="1"/>
  <c r="I58" i="63"/>
  <c r="R66" i="27" s="1"/>
  <c r="B59" i="63"/>
  <c r="AM57" i="40" s="1"/>
  <c r="AK57" i="40" s="1"/>
  <c r="F59" i="63"/>
  <c r="L67" i="27" s="1"/>
  <c r="J59" i="63"/>
  <c r="T67" i="27" s="1"/>
  <c r="C60" i="63"/>
  <c r="G60" i="63"/>
  <c r="N68" i="27" s="1"/>
  <c r="G25" i="50" s="1"/>
  <c r="K60" i="63"/>
  <c r="D61" i="63"/>
  <c r="I69" i="27" s="1"/>
  <c r="H61" i="63"/>
  <c r="L61" i="63"/>
  <c r="E62" i="63"/>
  <c r="C60" i="40" s="1"/>
  <c r="I62" i="63"/>
  <c r="R70" i="27" s="1"/>
  <c r="B63" i="63"/>
  <c r="AM61" i="40" s="1"/>
  <c r="AK61" i="40" s="1"/>
  <c r="F63" i="63"/>
  <c r="L71" i="27" s="1"/>
  <c r="J63" i="63"/>
  <c r="C64" i="63"/>
  <c r="G64" i="63"/>
  <c r="AB62" i="40" s="1"/>
  <c r="K64" i="63"/>
  <c r="D65" i="63"/>
  <c r="E63" i="40" s="1"/>
  <c r="F63" i="40" s="1"/>
  <c r="G63" i="40" s="1"/>
  <c r="H63" i="40" s="1"/>
  <c r="I63" i="40" s="1"/>
  <c r="J63" i="40" s="1"/>
  <c r="K63" i="40" s="1"/>
  <c r="L63" i="40" s="1"/>
  <c r="M63" i="40" s="1"/>
  <c r="N63" i="40" s="1"/>
  <c r="O63" i="40" s="1"/>
  <c r="P63" i="40" s="1"/>
  <c r="Q63" i="40" s="1"/>
  <c r="R63" i="40" s="1"/>
  <c r="S63" i="40" s="1"/>
  <c r="H65" i="63"/>
  <c r="L65" i="63"/>
  <c r="E66" i="63"/>
  <c r="C64" i="40" s="1"/>
  <c r="I66" i="63"/>
  <c r="R74" i="27" s="1"/>
  <c r="B67" i="63"/>
  <c r="AM65" i="40" s="1"/>
  <c r="AK65" i="40" s="1"/>
  <c r="F67" i="63"/>
  <c r="L75" i="27" s="1"/>
  <c r="J67" i="63"/>
  <c r="T75" i="27" s="1"/>
  <c r="C68" i="63"/>
  <c r="G68" i="63"/>
  <c r="AB66" i="40" s="1"/>
  <c r="K68" i="63"/>
  <c r="D69" i="63"/>
  <c r="E67" i="40" s="1"/>
  <c r="F67" i="40" s="1"/>
  <c r="G67" i="40" s="1"/>
  <c r="H67" i="40" s="1"/>
  <c r="I67" i="40" s="1"/>
  <c r="J67" i="40" s="1"/>
  <c r="K67" i="40" s="1"/>
  <c r="L67" i="40" s="1"/>
  <c r="M67" i="40" s="1"/>
  <c r="N67" i="40" s="1"/>
  <c r="O67" i="40" s="1"/>
  <c r="P67" i="40" s="1"/>
  <c r="Q67" i="40" s="1"/>
  <c r="R67" i="40" s="1"/>
  <c r="S67" i="40" s="1"/>
  <c r="H69" i="63"/>
  <c r="L69" i="63"/>
  <c r="E70" i="63"/>
  <c r="C68" i="40" s="1"/>
  <c r="I70" i="63"/>
  <c r="R78" i="27" s="1"/>
  <c r="B71" i="63"/>
  <c r="AM69" i="40" s="1"/>
  <c r="AK69" i="40" s="1"/>
  <c r="F71" i="63"/>
  <c r="L79" i="27" s="1"/>
  <c r="J71" i="63"/>
  <c r="T79" i="27" s="1"/>
  <c r="C72" i="63"/>
  <c r="G72" i="63"/>
  <c r="AB70" i="40" s="1"/>
  <c r="K72" i="63"/>
  <c r="D73" i="63"/>
  <c r="E71" i="40" s="1"/>
  <c r="F71" i="40" s="1"/>
  <c r="G71" i="40" s="1"/>
  <c r="H71" i="40" s="1"/>
  <c r="I71" i="40" s="1"/>
  <c r="J71" i="40" s="1"/>
  <c r="K71" i="40" s="1"/>
  <c r="L71" i="40" s="1"/>
  <c r="M71" i="40" s="1"/>
  <c r="N71" i="40" s="1"/>
  <c r="O71" i="40" s="1"/>
  <c r="P71" i="40" s="1"/>
  <c r="Q71" i="40" s="1"/>
  <c r="R71" i="40" s="1"/>
  <c r="S71" i="40" s="1"/>
  <c r="H73" i="63"/>
  <c r="L73" i="63"/>
  <c r="E74" i="63"/>
  <c r="C72" i="40" s="1"/>
  <c r="I74" i="63"/>
  <c r="R82" i="27" s="1"/>
  <c r="B75" i="63"/>
  <c r="AM73" i="40" s="1"/>
  <c r="AK73" i="40" s="1"/>
  <c r="F75" i="63"/>
  <c r="L83" i="27" s="1"/>
  <c r="E28" i="50" s="1"/>
  <c r="J75" i="63"/>
  <c r="T83" i="27" s="1"/>
  <c r="C76" i="63"/>
  <c r="G76" i="63"/>
  <c r="N84" i="27" s="1"/>
  <c r="K76" i="63"/>
  <c r="D77" i="63"/>
  <c r="E75" i="40" s="1"/>
  <c r="F75" i="40" s="1"/>
  <c r="G75" i="40" s="1"/>
  <c r="H75" i="40" s="1"/>
  <c r="I75" i="40" s="1"/>
  <c r="J75" i="40" s="1"/>
  <c r="K75" i="40" s="1"/>
  <c r="L75" i="40" s="1"/>
  <c r="M75" i="40" s="1"/>
  <c r="N75" i="40" s="1"/>
  <c r="O75" i="40" s="1"/>
  <c r="P75" i="40" s="1"/>
  <c r="Q75" i="40" s="1"/>
  <c r="R75" i="40" s="1"/>
  <c r="S75" i="40" s="1"/>
  <c r="H77" i="63"/>
  <c r="L77" i="63"/>
  <c r="E78" i="63"/>
  <c r="C76" i="40" s="1"/>
  <c r="I78" i="63"/>
  <c r="R86" i="27" s="1"/>
  <c r="B79" i="63"/>
  <c r="AM77" i="40" s="1"/>
  <c r="AK77" i="40" s="1"/>
  <c r="F79" i="63"/>
  <c r="L87" i="27" s="1"/>
  <c r="J79" i="63"/>
  <c r="C80" i="63"/>
  <c r="G80" i="63"/>
  <c r="N88" i="27" s="1"/>
  <c r="G29" i="50" s="1"/>
  <c r="K80" i="63"/>
  <c r="E8" i="63"/>
  <c r="C6" i="40" s="1"/>
  <c r="I8" i="63"/>
  <c r="R16" i="27" s="1"/>
  <c r="Q23" i="63"/>
  <c r="T21" i="67" s="1"/>
  <c r="N25" i="9" s="1"/>
  <c r="Q19" i="63"/>
  <c r="T17" i="67" s="1"/>
  <c r="Q82" i="67" s="1"/>
  <c r="O16" i="63"/>
  <c r="S18" i="9" s="1"/>
  <c r="O11" i="63"/>
  <c r="S13" i="9" s="1"/>
  <c r="D9" i="63"/>
  <c r="E7" i="40" s="1"/>
  <c r="F7" i="40" s="1"/>
  <c r="G7" i="40" s="1"/>
  <c r="H7" i="40" s="1"/>
  <c r="I7" i="40" s="1"/>
  <c r="J7" i="40" s="1"/>
  <c r="E10" i="63"/>
  <c r="C8" i="40" s="1"/>
  <c r="H11" i="63"/>
  <c r="H12" i="63"/>
  <c r="I13" i="63"/>
  <c r="R21" i="27" s="1"/>
  <c r="B15" i="63"/>
  <c r="AM13" i="40" s="1"/>
  <c r="AK13" i="40" s="1"/>
  <c r="C16" i="63"/>
  <c r="B17" i="63"/>
  <c r="AM15" i="40" s="1"/>
  <c r="AK15" i="40" s="1"/>
  <c r="F18" i="63"/>
  <c r="L26" i="27" s="1"/>
  <c r="G19" i="63"/>
  <c r="AB17" i="40" s="1"/>
  <c r="I20" i="63"/>
  <c r="R28" i="27" s="1"/>
  <c r="L21" i="63"/>
  <c r="K22" i="63"/>
  <c r="C24" i="63"/>
  <c r="E25" i="63"/>
  <c r="C23" i="40" s="1"/>
  <c r="G26" i="63"/>
  <c r="N34" i="27" s="1"/>
  <c r="G27" i="63"/>
  <c r="AB25" i="40" s="1"/>
  <c r="AA25" i="40" s="1"/>
  <c r="Z25" i="40" s="1"/>
  <c r="Y25" i="40" s="1"/>
  <c r="X25" i="40" s="1"/>
  <c r="W25" i="40" s="1"/>
  <c r="V25" i="40" s="1"/>
  <c r="U25" i="40" s="1"/>
  <c r="H28" i="63"/>
  <c r="G29" i="63"/>
  <c r="AB27" i="40" s="1"/>
  <c r="E30" i="63"/>
  <c r="C28" i="40" s="1"/>
  <c r="E31" i="63"/>
  <c r="C29" i="40" s="1"/>
  <c r="B32" i="63"/>
  <c r="AM30" i="40" s="1"/>
  <c r="AK30" i="40" s="1"/>
  <c r="K32" i="63"/>
  <c r="K33" i="63"/>
  <c r="I34" i="63"/>
  <c r="R42" i="27" s="1"/>
  <c r="F35" i="63"/>
  <c r="L43" i="27" s="1"/>
  <c r="E20" i="50" s="1"/>
  <c r="D36" i="63"/>
  <c r="I44" i="27" s="1"/>
  <c r="K36" i="63"/>
  <c r="G37" i="63"/>
  <c r="AB35" i="40" s="1"/>
  <c r="AA35" i="40" s="1"/>
  <c r="Z35" i="40" s="1"/>
  <c r="Y35" i="40" s="1"/>
  <c r="X35" i="40" s="1"/>
  <c r="W35" i="40" s="1"/>
  <c r="V35" i="40" s="1"/>
  <c r="U35" i="40" s="1"/>
  <c r="D38" i="63"/>
  <c r="E36" i="40" s="1"/>
  <c r="F36" i="40" s="1"/>
  <c r="G36" i="40" s="1"/>
  <c r="H36" i="40" s="1"/>
  <c r="I36" i="40" s="1"/>
  <c r="J36" i="40" s="1"/>
  <c r="K36" i="40" s="1"/>
  <c r="L36" i="40" s="1"/>
  <c r="M36" i="40" s="1"/>
  <c r="N36" i="40" s="1"/>
  <c r="O36" i="40" s="1"/>
  <c r="P36" i="40" s="1"/>
  <c r="Q36" i="40" s="1"/>
  <c r="R36" i="40" s="1"/>
  <c r="S36" i="40" s="1"/>
  <c r="J38" i="63"/>
  <c r="T46" i="27" s="1"/>
  <c r="F39" i="63"/>
  <c r="L47" i="27" s="1"/>
  <c r="C40" i="63"/>
  <c r="J40" i="63"/>
  <c r="T48" i="27" s="1"/>
  <c r="E41" i="63"/>
  <c r="B42" i="63"/>
  <c r="AM40" i="40" s="1"/>
  <c r="AK40" i="40" s="1"/>
  <c r="I42" i="63"/>
  <c r="R50" i="27" s="1"/>
  <c r="E43" i="63"/>
  <c r="C41" i="40" s="1"/>
  <c r="K43" i="63"/>
  <c r="E44" i="63"/>
  <c r="C42" i="40" s="1"/>
  <c r="J44" i="63"/>
  <c r="T52" i="27" s="1"/>
  <c r="E45" i="63"/>
  <c r="C43" i="40" s="1"/>
  <c r="J45" i="63"/>
  <c r="T53" i="27" s="1"/>
  <c r="D46" i="63"/>
  <c r="I54" i="27" s="1"/>
  <c r="J46" i="63"/>
  <c r="T54" i="27" s="1"/>
  <c r="D47" i="63"/>
  <c r="E45" i="40" s="1"/>
  <c r="F45" i="40" s="1"/>
  <c r="G45" i="40" s="1"/>
  <c r="H45" i="40" s="1"/>
  <c r="I45" i="40" s="1"/>
  <c r="J45" i="40" s="1"/>
  <c r="K45" i="40" s="1"/>
  <c r="L45" i="40" s="1"/>
  <c r="M45" i="40" s="1"/>
  <c r="N45" i="40" s="1"/>
  <c r="O45" i="40" s="1"/>
  <c r="P45" i="40" s="1"/>
  <c r="Q45" i="40" s="1"/>
  <c r="R45" i="40" s="1"/>
  <c r="S45" i="40" s="1"/>
  <c r="I47" i="63"/>
  <c r="R55" i="27" s="1"/>
  <c r="D48" i="63"/>
  <c r="I56" i="27" s="1"/>
  <c r="I48" i="63"/>
  <c r="R56" i="27" s="1"/>
  <c r="C49" i="63"/>
  <c r="I49" i="63"/>
  <c r="R57" i="27" s="1"/>
  <c r="C50" i="63"/>
  <c r="H50" i="63"/>
  <c r="C51" i="63"/>
  <c r="H51" i="63"/>
  <c r="B52" i="63"/>
  <c r="AM50" i="40" s="1"/>
  <c r="AK50" i="40" s="1"/>
  <c r="H52" i="63"/>
  <c r="B53" i="63"/>
  <c r="AM51" i="40" s="1"/>
  <c r="AK51" i="40" s="1"/>
  <c r="G53" i="63"/>
  <c r="N61" i="27" s="1"/>
  <c r="B54" i="63"/>
  <c r="AM52" i="40" s="1"/>
  <c r="AK52" i="40" s="1"/>
  <c r="G54" i="63"/>
  <c r="N62" i="27" s="1"/>
  <c r="L54" i="63"/>
  <c r="G55" i="63"/>
  <c r="N63" i="27" s="1"/>
  <c r="G24" i="50" s="1"/>
  <c r="L55" i="63"/>
  <c r="F56" i="63"/>
  <c r="L64" i="27" s="1"/>
  <c r="L56" i="63"/>
  <c r="F57" i="63"/>
  <c r="L65" i="27" s="1"/>
  <c r="K57" i="63"/>
  <c r="F58" i="63"/>
  <c r="L66" i="27" s="1"/>
  <c r="K58" i="63"/>
  <c r="E59" i="63"/>
  <c r="C57" i="40" s="1"/>
  <c r="K59" i="63"/>
  <c r="E60" i="63"/>
  <c r="C58" i="40" s="1"/>
  <c r="J60" i="63"/>
  <c r="T68" i="27" s="1"/>
  <c r="E61" i="63"/>
  <c r="J61" i="63"/>
  <c r="T69" i="27" s="1"/>
  <c r="D62" i="63"/>
  <c r="E60" i="40" s="1"/>
  <c r="F60" i="40" s="1"/>
  <c r="G60" i="40" s="1"/>
  <c r="H60" i="40" s="1"/>
  <c r="I60" i="40" s="1"/>
  <c r="J60" i="40" s="1"/>
  <c r="K60" i="40" s="1"/>
  <c r="L60" i="40" s="1"/>
  <c r="M60" i="40" s="1"/>
  <c r="N60" i="40" s="1"/>
  <c r="O60" i="40" s="1"/>
  <c r="P60" i="40" s="1"/>
  <c r="Q60" i="40" s="1"/>
  <c r="R60" i="40" s="1"/>
  <c r="S60" i="40" s="1"/>
  <c r="J62" i="63"/>
  <c r="T70" i="27" s="1"/>
  <c r="D63" i="63"/>
  <c r="E61" i="40" s="1"/>
  <c r="F61" i="40" s="1"/>
  <c r="G61" i="40" s="1"/>
  <c r="H61" i="40" s="1"/>
  <c r="I61" i="40" s="1"/>
  <c r="J61" i="40" s="1"/>
  <c r="K61" i="40" s="1"/>
  <c r="L61" i="40" s="1"/>
  <c r="M61" i="40" s="1"/>
  <c r="N61" i="40" s="1"/>
  <c r="O61" i="40" s="1"/>
  <c r="P61" i="40" s="1"/>
  <c r="Q61" i="40" s="1"/>
  <c r="R61" i="40" s="1"/>
  <c r="S61" i="40" s="1"/>
  <c r="I63" i="63"/>
  <c r="R71" i="27" s="1"/>
  <c r="D64" i="63"/>
  <c r="I72" i="27" s="1"/>
  <c r="I64" i="63"/>
  <c r="R72" i="27" s="1"/>
  <c r="C65" i="63"/>
  <c r="I65" i="63"/>
  <c r="R73" i="27" s="1"/>
  <c r="C66" i="63"/>
  <c r="H66" i="63"/>
  <c r="C67" i="63"/>
  <c r="H67" i="63"/>
  <c r="B68" i="63"/>
  <c r="AM66" i="40" s="1"/>
  <c r="AK66" i="40" s="1"/>
  <c r="H68" i="63"/>
  <c r="B69" i="63"/>
  <c r="AM67" i="40" s="1"/>
  <c r="AK67" i="40" s="1"/>
  <c r="G69" i="63"/>
  <c r="AB67" i="40" s="1"/>
  <c r="AA67" i="40" s="1"/>
  <c r="Z67" i="40" s="1"/>
  <c r="Y67" i="40" s="1"/>
  <c r="X67" i="40" s="1"/>
  <c r="W67" i="40" s="1"/>
  <c r="V67" i="40" s="1"/>
  <c r="U67" i="40" s="1"/>
  <c r="B70" i="63"/>
  <c r="AM68" i="40" s="1"/>
  <c r="AK68" i="40" s="1"/>
  <c r="G70" i="63"/>
  <c r="AB68" i="40" s="1"/>
  <c r="L70" i="63"/>
  <c r="G71" i="63"/>
  <c r="N79" i="27" s="1"/>
  <c r="L71" i="63"/>
  <c r="F72" i="63"/>
  <c r="L80" i="27" s="1"/>
  <c r="L72" i="63"/>
  <c r="F73" i="63"/>
  <c r="L81" i="27" s="1"/>
  <c r="K73" i="63"/>
  <c r="F74" i="63"/>
  <c r="L82" i="27" s="1"/>
  <c r="K74" i="63"/>
  <c r="E75" i="63"/>
  <c r="C73" i="40" s="1"/>
  <c r="K75" i="63"/>
  <c r="E76" i="63"/>
  <c r="C74" i="40" s="1"/>
  <c r="J76" i="63"/>
  <c r="T84" i="27" s="1"/>
  <c r="E77" i="63"/>
  <c r="C75" i="40" s="1"/>
  <c r="J77" i="63"/>
  <c r="T85" i="27" s="1"/>
  <c r="D78" i="63"/>
  <c r="I86" i="27" s="1"/>
  <c r="J78" i="63"/>
  <c r="D79" i="63"/>
  <c r="I87" i="27" s="1"/>
  <c r="I79" i="63"/>
  <c r="R87" i="27" s="1"/>
  <c r="D80" i="63"/>
  <c r="E78" i="40" s="1"/>
  <c r="F78" i="40" s="1"/>
  <c r="G78" i="40" s="1"/>
  <c r="H78" i="40" s="1"/>
  <c r="I78" i="40" s="1"/>
  <c r="J78" i="40" s="1"/>
  <c r="K78" i="40" s="1"/>
  <c r="L78" i="40" s="1"/>
  <c r="M78" i="40" s="1"/>
  <c r="N78" i="40" s="1"/>
  <c r="O78" i="40" s="1"/>
  <c r="P78" i="40" s="1"/>
  <c r="Q78" i="40" s="1"/>
  <c r="R78" i="40" s="1"/>
  <c r="S78" i="40" s="1"/>
  <c r="I80" i="63"/>
  <c r="R88" i="27" s="1"/>
  <c r="D8" i="63"/>
  <c r="I16" i="27" s="1"/>
  <c r="J8" i="63"/>
  <c r="T16" i="27" s="1"/>
  <c r="Q26" i="63"/>
  <c r="T24" i="67" s="1"/>
  <c r="N28" i="9" s="1"/>
  <c r="O23" i="63"/>
  <c r="O19" i="63"/>
  <c r="S21" i="9" s="1"/>
  <c r="P14" i="63"/>
  <c r="S12" i="67" s="1"/>
  <c r="M16" i="9" s="1"/>
  <c r="P10" i="63"/>
  <c r="S8" i="67" s="1"/>
  <c r="P19" i="67" s="1"/>
  <c r="E9" i="63"/>
  <c r="C7" i="40" s="1"/>
  <c r="I10" i="63"/>
  <c r="R18" i="27" s="1"/>
  <c r="J11" i="63"/>
  <c r="T19" i="27" s="1"/>
  <c r="L12" i="63"/>
  <c r="C14" i="63"/>
  <c r="C15" i="63"/>
  <c r="E16" i="63"/>
  <c r="C14" i="40" s="1"/>
  <c r="H17" i="63"/>
  <c r="J18" i="63"/>
  <c r="T26" i="27" s="1"/>
  <c r="J19" i="63"/>
  <c r="T27" i="27" s="1"/>
  <c r="L20" i="63"/>
  <c r="C22" i="63"/>
  <c r="D23" i="63"/>
  <c r="I31" i="27" s="1"/>
  <c r="H24" i="63"/>
  <c r="H25" i="63"/>
  <c r="I26" i="63"/>
  <c r="R34" i="27" s="1"/>
  <c r="L27" i="63"/>
  <c r="K28" i="63"/>
  <c r="H29" i="63"/>
  <c r="H30" i="63"/>
  <c r="F31" i="63"/>
  <c r="L39" i="27" s="1"/>
  <c r="D32" i="63"/>
  <c r="E30" i="40" s="1"/>
  <c r="F30" i="40" s="1"/>
  <c r="G30" i="40" s="1"/>
  <c r="H30" i="40" s="1"/>
  <c r="I30" i="40" s="1"/>
  <c r="J30" i="40" s="1"/>
  <c r="K30" i="40" s="1"/>
  <c r="L30" i="40" s="1"/>
  <c r="M30" i="40" s="1"/>
  <c r="N30" i="40" s="1"/>
  <c r="O30" i="40" s="1"/>
  <c r="P30" i="40" s="1"/>
  <c r="Q30" i="40" s="1"/>
  <c r="R30" i="40" s="1"/>
  <c r="S30" i="40" s="1"/>
  <c r="D33" i="63"/>
  <c r="E31" i="40" s="1"/>
  <c r="F31" i="40" s="1"/>
  <c r="G31" i="40" s="1"/>
  <c r="H31" i="40" s="1"/>
  <c r="I31" i="40" s="1"/>
  <c r="J31" i="40" s="1"/>
  <c r="K31" i="40" s="1"/>
  <c r="L31" i="40" s="1"/>
  <c r="M31" i="40" s="1"/>
  <c r="N31" i="40" s="1"/>
  <c r="O31" i="40" s="1"/>
  <c r="P31" i="40" s="1"/>
  <c r="Q31" i="40" s="1"/>
  <c r="R31" i="40" s="1"/>
  <c r="S31" i="40" s="1"/>
  <c r="L33" i="63"/>
  <c r="J34" i="63"/>
  <c r="J35" i="63"/>
  <c r="T43" i="27" s="1"/>
  <c r="F36" i="63"/>
  <c r="L44" i="27" s="1"/>
  <c r="L36" i="63"/>
  <c r="I37" i="63"/>
  <c r="R45" i="27" s="1"/>
  <c r="E38" i="63"/>
  <c r="C36" i="40" s="1"/>
  <c r="L38" i="63"/>
  <c r="I39" i="63"/>
  <c r="R47" i="27" s="1"/>
  <c r="D40" i="63"/>
  <c r="I48" i="27" s="1"/>
  <c r="O21" i="63"/>
  <c r="S23" i="9" s="1"/>
  <c r="P12" i="63"/>
  <c r="S10" i="67" s="1"/>
  <c r="M14" i="9" s="1"/>
  <c r="B10" i="63"/>
  <c r="AM8" i="40" s="1"/>
  <c r="AK8" i="40" s="1"/>
  <c r="G12" i="63"/>
  <c r="AB10" i="40" s="1"/>
  <c r="G14" i="63"/>
  <c r="AB12" i="40" s="1"/>
  <c r="L16" i="63"/>
  <c r="F19" i="63"/>
  <c r="L27" i="27" s="1"/>
  <c r="F21" i="63"/>
  <c r="L29" i="27" s="1"/>
  <c r="K23" i="63"/>
  <c r="C26" i="63"/>
  <c r="F28" i="63"/>
  <c r="L36" i="27" s="1"/>
  <c r="B30" i="63"/>
  <c r="AM28" i="40" s="1"/>
  <c r="AK28" i="40" s="1"/>
  <c r="K31" i="63"/>
  <c r="G33" i="63"/>
  <c r="AB31" i="40" s="1"/>
  <c r="AC31" i="40" s="1"/>
  <c r="AD31" i="40" s="1"/>
  <c r="AE31" i="40" s="1"/>
  <c r="AF31" i="40" s="1"/>
  <c r="AG31" i="40" s="1"/>
  <c r="AH31" i="40" s="1"/>
  <c r="AI31" i="40" s="1"/>
  <c r="E35" i="63"/>
  <c r="C33" i="40" s="1"/>
  <c r="J36" i="63"/>
  <c r="L37" i="63"/>
  <c r="E39" i="63"/>
  <c r="C37" i="40" s="1"/>
  <c r="H40" i="63"/>
  <c r="H41" i="63"/>
  <c r="E42" i="63"/>
  <c r="C40" i="40" s="1"/>
  <c r="C43" i="63"/>
  <c r="L43" i="63"/>
  <c r="H44" i="63"/>
  <c r="C45" i="63"/>
  <c r="K45" i="63"/>
  <c r="G46" i="63"/>
  <c r="N54" i="27" s="1"/>
  <c r="C47" i="63"/>
  <c r="K47" i="63"/>
  <c r="F48" i="63"/>
  <c r="L56" i="27" s="1"/>
  <c r="B49" i="63"/>
  <c r="AM47" i="40" s="1"/>
  <c r="AK47" i="40" s="1"/>
  <c r="J49" i="63"/>
  <c r="T57" i="27" s="1"/>
  <c r="F50" i="63"/>
  <c r="L58" i="27" s="1"/>
  <c r="E23" i="50" s="1"/>
  <c r="L50" i="63"/>
  <c r="I51" i="63"/>
  <c r="R59" i="27" s="1"/>
  <c r="E52" i="63"/>
  <c r="L52" i="63"/>
  <c r="I53" i="63"/>
  <c r="R61" i="27" s="1"/>
  <c r="D54" i="63"/>
  <c r="E52" i="40" s="1"/>
  <c r="F52" i="40" s="1"/>
  <c r="G52" i="40" s="1"/>
  <c r="H52" i="40" s="1"/>
  <c r="I52" i="40" s="1"/>
  <c r="J52" i="40" s="1"/>
  <c r="K52" i="40" s="1"/>
  <c r="L52" i="40" s="1"/>
  <c r="M52" i="40" s="1"/>
  <c r="N52" i="40" s="1"/>
  <c r="O52" i="40" s="1"/>
  <c r="P52" i="40" s="1"/>
  <c r="Q52" i="40" s="1"/>
  <c r="R52" i="40" s="1"/>
  <c r="S52" i="40" s="1"/>
  <c r="K54" i="63"/>
  <c r="H55" i="63"/>
  <c r="D56" i="63"/>
  <c r="E54" i="40" s="1"/>
  <c r="F54" i="40" s="1"/>
  <c r="G54" i="40" s="1"/>
  <c r="H54" i="40" s="1"/>
  <c r="I54" i="40" s="1"/>
  <c r="J54" i="40" s="1"/>
  <c r="K54" i="40" s="1"/>
  <c r="L54" i="40" s="1"/>
  <c r="M54" i="40" s="1"/>
  <c r="N54" i="40" s="1"/>
  <c r="O54" i="40" s="1"/>
  <c r="P54" i="40" s="1"/>
  <c r="Q54" i="40" s="1"/>
  <c r="R54" i="40" s="1"/>
  <c r="S54" i="40" s="1"/>
  <c r="J56" i="63"/>
  <c r="T64" i="27" s="1"/>
  <c r="G57" i="63"/>
  <c r="AB55" i="40" s="1"/>
  <c r="AC55" i="40" s="1"/>
  <c r="AD55" i="40" s="1"/>
  <c r="AE55" i="40" s="1"/>
  <c r="AF55" i="40" s="1"/>
  <c r="AG55" i="40" s="1"/>
  <c r="AH55" i="40" s="1"/>
  <c r="AI55" i="40" s="1"/>
  <c r="C58" i="63"/>
  <c r="J58" i="63"/>
  <c r="T66" i="27" s="1"/>
  <c r="G59" i="63"/>
  <c r="N67" i="27" s="1"/>
  <c r="B60" i="63"/>
  <c r="AM58" i="40" s="1"/>
  <c r="AK58" i="40" s="1"/>
  <c r="I60" i="63"/>
  <c r="R68" i="27" s="1"/>
  <c r="F61" i="63"/>
  <c r="L69" i="27" s="1"/>
  <c r="B62" i="63"/>
  <c r="AM60" i="40" s="1"/>
  <c r="AK60" i="40" s="1"/>
  <c r="H62" i="63"/>
  <c r="E63" i="63"/>
  <c r="C61" i="40" s="1"/>
  <c r="L63" i="63"/>
  <c r="H64" i="63"/>
  <c r="E65" i="63"/>
  <c r="C63" i="40" s="1"/>
  <c r="K65" i="63"/>
  <c r="G66" i="63"/>
  <c r="AB64" i="40" s="1"/>
  <c r="D67" i="63"/>
  <c r="E65" i="40" s="1"/>
  <c r="F65" i="40" s="1"/>
  <c r="G65" i="40" s="1"/>
  <c r="H65" i="40" s="1"/>
  <c r="I65" i="40" s="1"/>
  <c r="J65" i="40" s="1"/>
  <c r="K65" i="40" s="1"/>
  <c r="L65" i="40" s="1"/>
  <c r="M65" i="40" s="1"/>
  <c r="N65" i="40" s="1"/>
  <c r="O65" i="40" s="1"/>
  <c r="P65" i="40" s="1"/>
  <c r="Q65" i="40" s="1"/>
  <c r="R65" i="40" s="1"/>
  <c r="S65" i="40" s="1"/>
  <c r="K67" i="63"/>
  <c r="F68" i="63"/>
  <c r="L76" i="27" s="1"/>
  <c r="C69" i="63"/>
  <c r="J69" i="63"/>
  <c r="T77" i="27" s="1"/>
  <c r="F70" i="63"/>
  <c r="L78" i="27" s="1"/>
  <c r="E27" i="50" s="1"/>
  <c r="C71" i="63"/>
  <c r="I71" i="63"/>
  <c r="R79" i="27" s="1"/>
  <c r="E72" i="63"/>
  <c r="C70" i="40" s="1"/>
  <c r="B73" i="63"/>
  <c r="AM71" i="40" s="1"/>
  <c r="AK71" i="40" s="1"/>
  <c r="I73" i="63"/>
  <c r="R81" i="27" s="1"/>
  <c r="D74" i="63"/>
  <c r="E72" i="40" s="1"/>
  <c r="F72" i="40" s="1"/>
  <c r="G72" i="40" s="1"/>
  <c r="H72" i="40" s="1"/>
  <c r="I72" i="40" s="1"/>
  <c r="J72" i="40" s="1"/>
  <c r="K72" i="40" s="1"/>
  <c r="L72" i="40" s="1"/>
  <c r="M72" i="40" s="1"/>
  <c r="N72" i="40" s="1"/>
  <c r="O72" i="40" s="1"/>
  <c r="P72" i="40" s="1"/>
  <c r="Q72" i="40" s="1"/>
  <c r="R72" i="40" s="1"/>
  <c r="S72" i="40" s="1"/>
  <c r="L74" i="63"/>
  <c r="H75" i="63"/>
  <c r="D76" i="63"/>
  <c r="I84" i="27" s="1"/>
  <c r="L76" i="63"/>
  <c r="G77" i="63"/>
  <c r="AB75" i="40" s="1"/>
  <c r="AA75" i="40" s="1"/>
  <c r="Z75" i="40" s="1"/>
  <c r="Y75" i="40" s="1"/>
  <c r="X75" i="40" s="1"/>
  <c r="W75" i="40" s="1"/>
  <c r="V75" i="40" s="1"/>
  <c r="U75" i="40" s="1"/>
  <c r="C78" i="63"/>
  <c r="K78" i="63"/>
  <c r="G79" i="63"/>
  <c r="AB77" i="40" s="1"/>
  <c r="AC77" i="40" s="1"/>
  <c r="AD77" i="40" s="1"/>
  <c r="AE77" i="40" s="1"/>
  <c r="AF77" i="40" s="1"/>
  <c r="AG77" i="40" s="1"/>
  <c r="AH77" i="40" s="1"/>
  <c r="AI77" i="40" s="1"/>
  <c r="B80" i="63"/>
  <c r="AM78" i="40" s="1"/>
  <c r="AK78" i="40" s="1"/>
  <c r="J80" i="63"/>
  <c r="T88" i="27" s="1"/>
  <c r="G8" i="63"/>
  <c r="N16" i="27" s="1"/>
  <c r="P26" i="63"/>
  <c r="S24" i="67" s="1"/>
  <c r="M28" i="9" s="1"/>
  <c r="P17" i="63"/>
  <c r="S15" i="67" s="1"/>
  <c r="M19" i="9" s="1"/>
  <c r="P9" i="63"/>
  <c r="S7" i="67" s="1"/>
  <c r="P12" i="67" s="1"/>
  <c r="B11" i="63"/>
  <c r="AM9" i="40" s="1"/>
  <c r="AK9" i="40" s="1"/>
  <c r="D13" i="63"/>
  <c r="E11" i="40" s="1"/>
  <c r="F11" i="40" s="1"/>
  <c r="G11" i="40" s="1"/>
  <c r="H11" i="40" s="1"/>
  <c r="I11" i="40" s="1"/>
  <c r="J11" i="40" s="1"/>
  <c r="K11" i="40" s="1"/>
  <c r="L11" i="40" s="1"/>
  <c r="M11" i="40" s="1"/>
  <c r="N11" i="40" s="1"/>
  <c r="O11" i="40" s="1"/>
  <c r="P11" i="40" s="1"/>
  <c r="Q11" i="40" s="1"/>
  <c r="R11" i="40" s="1"/>
  <c r="S11" i="40" s="1"/>
  <c r="G15" i="63"/>
  <c r="N23" i="27" s="1"/>
  <c r="G16" i="50" s="1"/>
  <c r="J17" i="63"/>
  <c r="T25" i="27" s="1"/>
  <c r="D20" i="63"/>
  <c r="I28" i="27" s="1"/>
  <c r="E22" i="63"/>
  <c r="C20" i="40" s="1"/>
  <c r="I24" i="63"/>
  <c r="R32" i="27" s="1"/>
  <c r="C27" i="63"/>
  <c r="L28" i="63"/>
  <c r="J30" i="63"/>
  <c r="T38" i="27" s="1"/>
  <c r="G32" i="63"/>
  <c r="AB30" i="40" s="1"/>
  <c r="D34" i="63"/>
  <c r="I42" i="27" s="1"/>
  <c r="K35" i="63"/>
  <c r="D37" i="63"/>
  <c r="E35" i="40" s="1"/>
  <c r="F35" i="40" s="1"/>
  <c r="G35" i="40" s="1"/>
  <c r="H35" i="40" s="1"/>
  <c r="I35" i="40" s="1"/>
  <c r="J35" i="40" s="1"/>
  <c r="K35" i="40" s="1"/>
  <c r="L35" i="40" s="1"/>
  <c r="M35" i="40" s="1"/>
  <c r="N35" i="40" s="1"/>
  <c r="O35" i="40" s="1"/>
  <c r="P35" i="40" s="1"/>
  <c r="Q35" i="40" s="1"/>
  <c r="R35" i="40" s="1"/>
  <c r="S35" i="40" s="1"/>
  <c r="F38" i="63"/>
  <c r="L46" i="27" s="1"/>
  <c r="J39" i="63"/>
  <c r="T47" i="27" s="1"/>
  <c r="K40" i="63"/>
  <c r="I41" i="63"/>
  <c r="R49" i="27" s="1"/>
  <c r="H42" i="63"/>
  <c r="G43" i="63"/>
  <c r="AB41" i="40" s="1"/>
  <c r="AC41" i="40" s="1"/>
  <c r="AD41" i="40" s="1"/>
  <c r="AE41" i="40" s="1"/>
  <c r="AF41" i="40" s="1"/>
  <c r="AG41" i="40" s="1"/>
  <c r="AH41" i="40" s="1"/>
  <c r="AI41" i="40" s="1"/>
  <c r="B44" i="63"/>
  <c r="AM42" i="40" s="1"/>
  <c r="AK42" i="40" s="1"/>
  <c r="I44" i="63"/>
  <c r="R52" i="27" s="1"/>
  <c r="F45" i="63"/>
  <c r="L53" i="27" s="1"/>
  <c r="E22" i="50" s="1"/>
  <c r="B46" i="63"/>
  <c r="AM44" i="40" s="1"/>
  <c r="AK44" i="40" s="1"/>
  <c r="H46" i="63"/>
  <c r="E47" i="63"/>
  <c r="C45" i="40" s="1"/>
  <c r="L47" i="63"/>
  <c r="H48" i="63"/>
  <c r="E49" i="63"/>
  <c r="C47" i="40" s="1"/>
  <c r="K49" i="63"/>
  <c r="G50" i="63"/>
  <c r="AB48" i="40" s="1"/>
  <c r="D51" i="63"/>
  <c r="I59" i="27" s="1"/>
  <c r="K51" i="63"/>
  <c r="F52" i="63"/>
  <c r="L60" i="27" s="1"/>
  <c r="C53" i="63"/>
  <c r="J53" i="63"/>
  <c r="T61" i="27" s="1"/>
  <c r="F54" i="63"/>
  <c r="L62" i="27" s="1"/>
  <c r="C55" i="63"/>
  <c r="I55" i="63"/>
  <c r="R63" i="27" s="1"/>
  <c r="E56" i="63"/>
  <c r="C54" i="40" s="1"/>
  <c r="B57" i="63"/>
  <c r="AM55" i="40" s="1"/>
  <c r="AK55" i="40" s="1"/>
  <c r="I57" i="63"/>
  <c r="R65" i="27" s="1"/>
  <c r="D58" i="63"/>
  <c r="I66" i="27" s="1"/>
  <c r="L58" i="63"/>
  <c r="H59" i="63"/>
  <c r="D60" i="63"/>
  <c r="E58" i="40" s="1"/>
  <c r="F58" i="40" s="1"/>
  <c r="G58" i="40" s="1"/>
  <c r="H58" i="40" s="1"/>
  <c r="I58" i="40" s="1"/>
  <c r="J58" i="40" s="1"/>
  <c r="K58" i="40" s="1"/>
  <c r="L58" i="40" s="1"/>
  <c r="M58" i="40" s="1"/>
  <c r="N58" i="40" s="1"/>
  <c r="O58" i="40" s="1"/>
  <c r="P58" i="40" s="1"/>
  <c r="Q58" i="40" s="1"/>
  <c r="R58" i="40" s="1"/>
  <c r="S58" i="40" s="1"/>
  <c r="L60" i="63"/>
  <c r="G61" i="63"/>
  <c r="AB59" i="40" s="1"/>
  <c r="AA59" i="40" s="1"/>
  <c r="Z59" i="40" s="1"/>
  <c r="Y59" i="40" s="1"/>
  <c r="X59" i="40" s="1"/>
  <c r="W59" i="40" s="1"/>
  <c r="V59" i="40" s="1"/>
  <c r="U59" i="40" s="1"/>
  <c r="C62" i="63"/>
  <c r="K62" i="63"/>
  <c r="G63" i="63"/>
  <c r="N71" i="27" s="1"/>
  <c r="B64" i="63"/>
  <c r="AM62" i="40" s="1"/>
  <c r="AK62" i="40" s="1"/>
  <c r="J64" i="63"/>
  <c r="T72" i="27" s="1"/>
  <c r="F65" i="63"/>
  <c r="L73" i="27" s="1"/>
  <c r="E26" i="50" s="1"/>
  <c r="B66" i="63"/>
  <c r="AM64" i="40" s="1"/>
  <c r="AK64" i="40" s="1"/>
  <c r="J66" i="63"/>
  <c r="T74" i="27" s="1"/>
  <c r="E67" i="63"/>
  <c r="C65" i="40" s="1"/>
  <c r="L67" i="63"/>
  <c r="I68" i="63"/>
  <c r="R76" i="27" s="1"/>
  <c r="E69" i="63"/>
  <c r="C67" i="40" s="1"/>
  <c r="K69" i="63"/>
  <c r="H70" i="63"/>
  <c r="D71" i="63"/>
  <c r="E69" i="40" s="1"/>
  <c r="F69" i="40" s="1"/>
  <c r="G69" i="40" s="1"/>
  <c r="H69" i="40" s="1"/>
  <c r="I69" i="40" s="1"/>
  <c r="J69" i="40" s="1"/>
  <c r="K69" i="40" s="1"/>
  <c r="L69" i="40" s="1"/>
  <c r="M69" i="40" s="1"/>
  <c r="N69" i="40" s="1"/>
  <c r="O69" i="40" s="1"/>
  <c r="P69" i="40" s="1"/>
  <c r="Q69" i="40" s="1"/>
  <c r="R69" i="40" s="1"/>
  <c r="S69" i="40" s="1"/>
  <c r="K71" i="63"/>
  <c r="H72" i="63"/>
  <c r="C73" i="63"/>
  <c r="J73" i="63"/>
  <c r="T81" i="27" s="1"/>
  <c r="G74" i="63"/>
  <c r="AB72" i="40" s="1"/>
  <c r="C75" i="63"/>
  <c r="I75" i="63"/>
  <c r="R83" i="27" s="1"/>
  <c r="F76" i="63"/>
  <c r="L84" i="27" s="1"/>
  <c r="B77" i="63"/>
  <c r="AM75" i="40" s="1"/>
  <c r="AK75" i="40" s="1"/>
  <c r="I77" i="63"/>
  <c r="R85" i="27" s="1"/>
  <c r="F78" i="63"/>
  <c r="L86" i="27" s="1"/>
  <c r="L78" i="63"/>
  <c r="H79" i="63"/>
  <c r="E80" i="63"/>
  <c r="C78" i="40" s="1"/>
  <c r="L80" i="63"/>
  <c r="H8" i="63"/>
  <c r="P25" i="63"/>
  <c r="S23" i="67" s="1"/>
  <c r="M27" i="9" s="1"/>
  <c r="P16" i="63"/>
  <c r="S14" i="67" s="1"/>
  <c r="P61" i="67" s="1"/>
  <c r="B9" i="63"/>
  <c r="AM7" i="40" s="1"/>
  <c r="AK7" i="40" s="1"/>
  <c r="C11" i="63"/>
  <c r="H13" i="63"/>
  <c r="K15" i="63"/>
  <c r="B18" i="63"/>
  <c r="AM16" i="40" s="1"/>
  <c r="AK16" i="40" s="1"/>
  <c r="E20" i="63"/>
  <c r="C18" i="40" s="1"/>
  <c r="J22" i="63"/>
  <c r="T30" i="27" s="1"/>
  <c r="K24" i="63"/>
  <c r="D27" i="63"/>
  <c r="E25" i="40" s="1"/>
  <c r="F25" i="40" s="1"/>
  <c r="G25" i="40" s="1"/>
  <c r="H25" i="40" s="1"/>
  <c r="I25" i="40" s="1"/>
  <c r="J25" i="40" s="1"/>
  <c r="K25" i="40" s="1"/>
  <c r="L25" i="40" s="1"/>
  <c r="M25" i="40" s="1"/>
  <c r="N25" i="40" s="1"/>
  <c r="O25" i="40" s="1"/>
  <c r="P25" i="40" s="1"/>
  <c r="Q25" i="40" s="1"/>
  <c r="R25" i="40" s="1"/>
  <c r="S25" i="40" s="1"/>
  <c r="E29" i="63"/>
  <c r="C27" i="40" s="1"/>
  <c r="L30" i="63"/>
  <c r="J32" i="63"/>
  <c r="T40" i="27" s="1"/>
  <c r="F34" i="63"/>
  <c r="L42" i="27" s="1"/>
  <c r="B36" i="63"/>
  <c r="AM34" i="40" s="1"/>
  <c r="AK34" i="40" s="1"/>
  <c r="E37" i="63"/>
  <c r="C35" i="40" s="1"/>
  <c r="I38" i="63"/>
  <c r="R46" i="27" s="1"/>
  <c r="K39" i="63"/>
  <c r="C41" i="63"/>
  <c r="K41" i="63"/>
  <c r="J42" i="63"/>
  <c r="T50" i="27" s="1"/>
  <c r="H43" i="63"/>
  <c r="D44" i="63"/>
  <c r="I52" i="27" s="1"/>
  <c r="L44" i="63"/>
  <c r="G45" i="63"/>
  <c r="AB43" i="40" s="1"/>
  <c r="AA43" i="40" s="1"/>
  <c r="Z43" i="40" s="1"/>
  <c r="Y43" i="40" s="1"/>
  <c r="X43" i="40" s="1"/>
  <c r="W43" i="40" s="1"/>
  <c r="V43" i="40" s="1"/>
  <c r="U43" i="40" s="1"/>
  <c r="C46" i="63"/>
  <c r="K46" i="63"/>
  <c r="G47" i="63"/>
  <c r="N55" i="27" s="1"/>
  <c r="B48" i="63"/>
  <c r="AM46" i="40" s="1"/>
  <c r="AK46" i="40" s="1"/>
  <c r="J48" i="63"/>
  <c r="T56" i="27" s="1"/>
  <c r="F49" i="63"/>
  <c r="L57" i="27" s="1"/>
  <c r="B50" i="63"/>
  <c r="AM48" i="40" s="1"/>
  <c r="AK48" i="40" s="1"/>
  <c r="J50" i="63"/>
  <c r="T58" i="27" s="1"/>
  <c r="E51" i="63"/>
  <c r="C49" i="40" s="1"/>
  <c r="L51" i="63"/>
  <c r="I52" i="63"/>
  <c r="R60" i="27" s="1"/>
  <c r="E53" i="63"/>
  <c r="C51" i="40" s="1"/>
  <c r="K53" i="63"/>
  <c r="H54" i="63"/>
  <c r="D55" i="63"/>
  <c r="I63" i="27" s="1"/>
  <c r="K55" i="63"/>
  <c r="H56" i="63"/>
  <c r="C57" i="63"/>
  <c r="J57" i="63"/>
  <c r="T65" i="27" s="1"/>
  <c r="G58" i="63"/>
  <c r="AB56" i="40" s="1"/>
  <c r="C59" i="63"/>
  <c r="I59" i="63"/>
  <c r="R67" i="27" s="1"/>
  <c r="F60" i="63"/>
  <c r="L68" i="27" s="1"/>
  <c r="E25" i="50" s="1"/>
  <c r="B61" i="63"/>
  <c r="AM59" i="40" s="1"/>
  <c r="AK59" i="40" s="1"/>
  <c r="I61" i="63"/>
  <c r="R69" i="27" s="1"/>
  <c r="F62" i="63"/>
  <c r="L70" i="27" s="1"/>
  <c r="L62" i="63"/>
  <c r="H63" i="63"/>
  <c r="E64" i="63"/>
  <c r="C62" i="40" s="1"/>
  <c r="L64" i="63"/>
  <c r="G65" i="63"/>
  <c r="AB63" i="40" s="1"/>
  <c r="AA63" i="40" s="1"/>
  <c r="Z63" i="40" s="1"/>
  <c r="Y63" i="40" s="1"/>
  <c r="X63" i="40" s="1"/>
  <c r="W63" i="40" s="1"/>
  <c r="V63" i="40" s="1"/>
  <c r="U63" i="40" s="1"/>
  <c r="D66" i="63"/>
  <c r="E64" i="40" s="1"/>
  <c r="F64" i="40" s="1"/>
  <c r="G64" i="40" s="1"/>
  <c r="H64" i="40" s="1"/>
  <c r="I64" i="40" s="1"/>
  <c r="J64" i="40" s="1"/>
  <c r="K64" i="40" s="1"/>
  <c r="L64" i="40" s="1"/>
  <c r="M64" i="40" s="1"/>
  <c r="N64" i="40" s="1"/>
  <c r="O64" i="40" s="1"/>
  <c r="P64" i="40" s="1"/>
  <c r="Q64" i="40" s="1"/>
  <c r="R64" i="40" s="1"/>
  <c r="S64" i="40" s="1"/>
  <c r="K66" i="63"/>
  <c r="G67" i="63"/>
  <c r="AB65" i="40" s="1"/>
  <c r="AA65" i="40" s="1"/>
  <c r="Z65" i="40" s="1"/>
  <c r="Y65" i="40" s="1"/>
  <c r="X65" i="40" s="1"/>
  <c r="W65" i="40" s="1"/>
  <c r="V65" i="40" s="1"/>
  <c r="U65" i="40" s="1"/>
  <c r="D68" i="63"/>
  <c r="J68" i="63"/>
  <c r="T76" i="27" s="1"/>
  <c r="F69" i="63"/>
  <c r="L77" i="27" s="1"/>
  <c r="C70" i="63"/>
  <c r="J70" i="63"/>
  <c r="T78" i="27" s="1"/>
  <c r="E71" i="63"/>
  <c r="C69" i="40" s="1"/>
  <c r="B72" i="63"/>
  <c r="AM70" i="40" s="1"/>
  <c r="AK70" i="40" s="1"/>
  <c r="I72" i="63"/>
  <c r="R80" i="27" s="1"/>
  <c r="E73" i="63"/>
  <c r="C71" i="40" s="1"/>
  <c r="B74" i="63"/>
  <c r="AM72" i="40" s="1"/>
  <c r="AK72" i="40" s="1"/>
  <c r="H74" i="63"/>
  <c r="D75" i="63"/>
  <c r="E73" i="40" s="1"/>
  <c r="F73" i="40" s="1"/>
  <c r="G73" i="40" s="1"/>
  <c r="H73" i="40" s="1"/>
  <c r="I73" i="40" s="1"/>
  <c r="J73" i="40" s="1"/>
  <c r="K73" i="40" s="1"/>
  <c r="L73" i="40" s="1"/>
  <c r="M73" i="40" s="1"/>
  <c r="N73" i="40" s="1"/>
  <c r="O73" i="40" s="1"/>
  <c r="P73" i="40" s="1"/>
  <c r="Q73" i="40" s="1"/>
  <c r="R73" i="40" s="1"/>
  <c r="S73" i="40" s="1"/>
  <c r="L75" i="63"/>
  <c r="H76" i="63"/>
  <c r="C77" i="63"/>
  <c r="K77" i="63"/>
  <c r="G78" i="63"/>
  <c r="N86" i="27" s="1"/>
  <c r="C79" i="63"/>
  <c r="K79" i="63"/>
  <c r="F80" i="63"/>
  <c r="L88" i="27" s="1"/>
  <c r="E29" i="50" s="1"/>
  <c r="C8" i="63"/>
  <c r="K8" i="63"/>
  <c r="Q21" i="63"/>
  <c r="T19" i="67" s="1"/>
  <c r="Q96" i="67" s="1"/>
  <c r="Q13" i="63"/>
  <c r="T11" i="67" s="1"/>
  <c r="N15" i="9" s="1"/>
  <c r="J9" i="63"/>
  <c r="T17" i="27" s="1"/>
  <c r="L11" i="63"/>
  <c r="F14" i="63"/>
  <c r="L22" i="27" s="1"/>
  <c r="K16" i="63"/>
  <c r="K18" i="63"/>
  <c r="E21" i="63"/>
  <c r="C19" i="40" s="1"/>
  <c r="H23" i="63"/>
  <c r="J25" i="63"/>
  <c r="T33" i="27" s="1"/>
  <c r="C28" i="63"/>
  <c r="L29" i="63"/>
  <c r="G31" i="63"/>
  <c r="AB29" i="40" s="1"/>
  <c r="AA29" i="40" s="1"/>
  <c r="Z29" i="40" s="1"/>
  <c r="Y29" i="40" s="1"/>
  <c r="X29" i="40" s="1"/>
  <c r="W29" i="40" s="1"/>
  <c r="V29" i="40" s="1"/>
  <c r="U29" i="40" s="1"/>
  <c r="E33" i="63"/>
  <c r="C31" i="40" s="1"/>
  <c r="C35" i="63"/>
  <c r="G36" i="63"/>
  <c r="AB34" i="40" s="1"/>
  <c r="K37" i="63"/>
  <c r="C39" i="63"/>
  <c r="F40" i="63"/>
  <c r="L48" i="27" s="1"/>
  <c r="E21" i="50" s="1"/>
  <c r="D41" i="63"/>
  <c r="I49" i="27" s="1"/>
  <c r="D42" i="63"/>
  <c r="E40" i="40" s="1"/>
  <c r="F40" i="40" s="1"/>
  <c r="G40" i="40" s="1"/>
  <c r="H40" i="40" s="1"/>
  <c r="I40" i="40" s="1"/>
  <c r="J40" i="40" s="1"/>
  <c r="K40" i="40" s="1"/>
  <c r="L40" i="40" s="1"/>
  <c r="M40" i="40" s="1"/>
  <c r="N40" i="40" s="1"/>
  <c r="O40" i="40" s="1"/>
  <c r="P40" i="40" s="1"/>
  <c r="Q40" i="40" s="1"/>
  <c r="R40" i="40" s="1"/>
  <c r="S40" i="40" s="1"/>
  <c r="B43" i="63"/>
  <c r="AM41" i="40" s="1"/>
  <c r="AK41" i="40" s="1"/>
  <c r="I43" i="63"/>
  <c r="R51" i="27" s="1"/>
  <c r="F44" i="63"/>
  <c r="L52" i="27" s="1"/>
  <c r="B45" i="63"/>
  <c r="AM43" i="40" s="1"/>
  <c r="AK43" i="40" s="1"/>
  <c r="I45" i="63"/>
  <c r="R53" i="27" s="1"/>
  <c r="F46" i="63"/>
  <c r="L54" i="27" s="1"/>
  <c r="L46" i="63"/>
  <c r="H47" i="63"/>
  <c r="E48" i="63"/>
  <c r="C46" i="40" s="1"/>
  <c r="L48" i="63"/>
  <c r="G49" i="63"/>
  <c r="N57" i="27" s="1"/>
  <c r="D50" i="63"/>
  <c r="I58" i="27" s="1"/>
  <c r="K50" i="63"/>
  <c r="G51" i="63"/>
  <c r="N59" i="27" s="1"/>
  <c r="D52" i="63"/>
  <c r="E50" i="40" s="1"/>
  <c r="F50" i="40" s="1"/>
  <c r="G50" i="40" s="1"/>
  <c r="H50" i="40" s="1"/>
  <c r="I50" i="40" s="1"/>
  <c r="J50" i="40" s="1"/>
  <c r="K50" i="40" s="1"/>
  <c r="L50" i="40" s="1"/>
  <c r="M50" i="40" s="1"/>
  <c r="N50" i="40" s="1"/>
  <c r="O50" i="40" s="1"/>
  <c r="P50" i="40" s="1"/>
  <c r="Q50" i="40" s="1"/>
  <c r="R50" i="40" s="1"/>
  <c r="S50" i="40" s="1"/>
  <c r="J52" i="63"/>
  <c r="T60" i="27" s="1"/>
  <c r="F53" i="63"/>
  <c r="L61" i="27" s="1"/>
  <c r="C54" i="63"/>
  <c r="J54" i="63"/>
  <c r="T62" i="27" s="1"/>
  <c r="E55" i="63"/>
  <c r="C53" i="40" s="1"/>
  <c r="B56" i="63"/>
  <c r="AM54" i="40" s="1"/>
  <c r="AK54" i="40" s="1"/>
  <c r="I56" i="63"/>
  <c r="R64" i="27" s="1"/>
  <c r="E57" i="63"/>
  <c r="C55" i="40" s="1"/>
  <c r="B58" i="63"/>
  <c r="AM56" i="40" s="1"/>
  <c r="AK56" i="40" s="1"/>
  <c r="H58" i="63"/>
  <c r="D59" i="63"/>
  <c r="E57" i="40" s="1"/>
  <c r="F57" i="40" s="1"/>
  <c r="G57" i="40" s="1"/>
  <c r="H57" i="40" s="1"/>
  <c r="I57" i="40" s="1"/>
  <c r="J57" i="40" s="1"/>
  <c r="K57" i="40" s="1"/>
  <c r="L57" i="40" s="1"/>
  <c r="M57" i="40" s="1"/>
  <c r="N57" i="40" s="1"/>
  <c r="O57" i="40" s="1"/>
  <c r="P57" i="40" s="1"/>
  <c r="Q57" i="40" s="1"/>
  <c r="R57" i="40" s="1"/>
  <c r="S57" i="40" s="1"/>
  <c r="L59" i="63"/>
  <c r="H60" i="63"/>
  <c r="C61" i="63"/>
  <c r="K61" i="63"/>
  <c r="G62" i="63"/>
  <c r="N70" i="27" s="1"/>
  <c r="C63" i="63"/>
  <c r="K63" i="63"/>
  <c r="F64" i="63"/>
  <c r="B65" i="63"/>
  <c r="AM63" i="40" s="1"/>
  <c r="AK63" i="40" s="1"/>
  <c r="J65" i="63"/>
  <c r="T73" i="27" s="1"/>
  <c r="F66" i="63"/>
  <c r="L74" i="27" s="1"/>
  <c r="L66" i="63"/>
  <c r="I67" i="63"/>
  <c r="R75" i="27" s="1"/>
  <c r="E68" i="63"/>
  <c r="C66" i="40" s="1"/>
  <c r="L68" i="63"/>
  <c r="I69" i="63"/>
  <c r="R77" i="27" s="1"/>
  <c r="D70" i="63"/>
  <c r="I78" i="27" s="1"/>
  <c r="K70" i="63"/>
  <c r="H71" i="63"/>
  <c r="D72" i="63"/>
  <c r="I80" i="27" s="1"/>
  <c r="J72" i="63"/>
  <c r="T80" i="27" s="1"/>
  <c r="G73" i="63"/>
  <c r="N81" i="27" s="1"/>
  <c r="C74" i="63"/>
  <c r="J74" i="63"/>
  <c r="T82" i="27" s="1"/>
  <c r="G75" i="63"/>
  <c r="AB73" i="40" s="1"/>
  <c r="AA73" i="40" s="1"/>
  <c r="Z73" i="40" s="1"/>
  <c r="Y73" i="40" s="1"/>
  <c r="X73" i="40" s="1"/>
  <c r="W73" i="40" s="1"/>
  <c r="V73" i="40" s="1"/>
  <c r="U73" i="40" s="1"/>
  <c r="B76" i="63"/>
  <c r="AM74" i="40" s="1"/>
  <c r="AK74" i="40" s="1"/>
  <c r="I76" i="63"/>
  <c r="R84" i="27" s="1"/>
  <c r="F77" i="63"/>
  <c r="L85" i="27" s="1"/>
  <c r="B78" i="63"/>
  <c r="AM76" i="40" s="1"/>
  <c r="AK76" i="40" s="1"/>
  <c r="H78" i="63"/>
  <c r="E79" i="63"/>
  <c r="C77" i="40" s="1"/>
  <c r="L79" i="63"/>
  <c r="H80" i="63"/>
  <c r="F8" i="63"/>
  <c r="L16" i="27" s="1"/>
  <c r="L8" i="63"/>
  <c r="AM6" i="40"/>
  <c r="AK6" i="40" s="1"/>
  <c r="R27" i="9"/>
  <c r="T27" i="9"/>
  <c r="R20" i="9"/>
  <c r="T20" i="9"/>
  <c r="R17" i="9"/>
  <c r="T17" i="9"/>
  <c r="R18" i="9"/>
  <c r="T18" i="9"/>
  <c r="R23" i="9"/>
  <c r="T23" i="9"/>
  <c r="R28" i="9"/>
  <c r="T28" i="9"/>
  <c r="R21" i="9"/>
  <c r="T21" i="9"/>
  <c r="R25" i="9"/>
  <c r="T25" i="9"/>
  <c r="R26" i="9"/>
  <c r="T26" i="9"/>
  <c r="F3" i="66"/>
  <c r="R19" i="9"/>
  <c r="T19" i="9"/>
  <c r="R24" i="9"/>
  <c r="T24" i="9"/>
  <c r="R22" i="9"/>
  <c r="T22" i="9"/>
  <c r="L15" i="9"/>
  <c r="B7" i="66" s="1"/>
  <c r="L11" i="9"/>
  <c r="B3" i="66" s="1"/>
  <c r="B23" i="28"/>
  <c r="B24" i="28" s="1"/>
  <c r="B25" i="28" s="1"/>
  <c r="B26" i="28" s="1"/>
  <c r="B27" i="28" s="1"/>
  <c r="B28" i="28" s="1"/>
  <c r="B30" i="28" s="1"/>
  <c r="R12" i="9"/>
  <c r="T12" i="9" s="1"/>
  <c r="E13" i="9"/>
  <c r="E14" i="9" s="1"/>
  <c r="G14" i="9" s="1"/>
  <c r="C13" i="40"/>
  <c r="C50" i="40"/>
  <c r="T71" i="27"/>
  <c r="C59" i="40"/>
  <c r="T87" i="27"/>
  <c r="C3" i="66"/>
  <c r="T86" i="27"/>
  <c r="T42" i="27"/>
  <c r="T44" i="27"/>
  <c r="L20" i="27"/>
  <c r="T23" i="27"/>
  <c r="R27" i="27"/>
  <c r="L72" i="27"/>
  <c r="AM53" i="40"/>
  <c r="AK53" i="40" s="1"/>
  <c r="C39" i="40"/>
  <c r="S25" i="9"/>
  <c r="S24" i="9"/>
  <c r="AM3" i="40" l="1"/>
  <c r="AN3" i="40" s="1"/>
  <c r="T11" i="9"/>
  <c r="R14" i="9"/>
  <c r="T14" i="9" s="1"/>
  <c r="F14" i="9"/>
  <c r="E15" i="9"/>
  <c r="E22" i="40"/>
  <c r="F22" i="40" s="1"/>
  <c r="G22" i="40" s="1"/>
  <c r="H22" i="40" s="1"/>
  <c r="I22" i="40" s="1"/>
  <c r="J22" i="40" s="1"/>
  <c r="K22" i="40" s="1"/>
  <c r="L22" i="40" s="1"/>
  <c r="M22" i="40" s="1"/>
  <c r="N22" i="40" s="1"/>
  <c r="O22" i="40" s="1"/>
  <c r="P22" i="40" s="1"/>
  <c r="Q22" i="40" s="1"/>
  <c r="R22" i="40" s="1"/>
  <c r="S22" i="40" s="1"/>
  <c r="G13" i="9"/>
  <c r="F13" i="9"/>
  <c r="Q26" i="67"/>
  <c r="I82" i="27"/>
  <c r="P53" i="27"/>
  <c r="AR43" i="40"/>
  <c r="P78" i="27"/>
  <c r="AR68" i="40"/>
  <c r="P65" i="27"/>
  <c r="AR55" i="40"/>
  <c r="P71" i="27"/>
  <c r="AR61" i="40"/>
  <c r="P64" i="27"/>
  <c r="AR54" i="40"/>
  <c r="P41" i="27"/>
  <c r="AR31" i="40"/>
  <c r="P43" i="27"/>
  <c r="AR33" i="40"/>
  <c r="P45" i="27"/>
  <c r="AR35" i="40"/>
  <c r="P34" i="27"/>
  <c r="AR24" i="40"/>
  <c r="P72" i="27"/>
  <c r="AR62" i="40"/>
  <c r="P40" i="27"/>
  <c r="AR30" i="40"/>
  <c r="P63" i="27"/>
  <c r="AR53" i="40"/>
  <c r="P31" i="27"/>
  <c r="AR21" i="40"/>
  <c r="P27" i="27"/>
  <c r="AR17" i="40"/>
  <c r="P42" i="27"/>
  <c r="AR32" i="40"/>
  <c r="P80" i="27"/>
  <c r="AR70" i="40"/>
  <c r="P47" i="27"/>
  <c r="AR37" i="40"/>
  <c r="P85" i="27"/>
  <c r="AR75" i="40"/>
  <c r="P30" i="27"/>
  <c r="AR20" i="40"/>
  <c r="P68" i="27"/>
  <c r="AR58" i="40"/>
  <c r="P21" i="27"/>
  <c r="AR11" i="40"/>
  <c r="P37" i="27"/>
  <c r="AR27" i="40"/>
  <c r="P49" i="27"/>
  <c r="AR39" i="40"/>
  <c r="P69" i="27"/>
  <c r="AR59" i="40"/>
  <c r="P66" i="27"/>
  <c r="AR56" i="40"/>
  <c r="P44" i="27"/>
  <c r="AR34" i="40"/>
  <c r="P17" i="27"/>
  <c r="AR7" i="40"/>
  <c r="P84" i="27"/>
  <c r="AR74" i="40"/>
  <c r="P33" i="27"/>
  <c r="AR23" i="40"/>
  <c r="P74" i="27"/>
  <c r="AR64" i="40"/>
  <c r="P83" i="27"/>
  <c r="AR73" i="40"/>
  <c r="P86" i="27"/>
  <c r="AR76" i="40"/>
  <c r="P48" i="27"/>
  <c r="AR38" i="40"/>
  <c r="P67" i="27"/>
  <c r="AR57" i="40"/>
  <c r="P88" i="27"/>
  <c r="AR78" i="40"/>
  <c r="P36" i="27"/>
  <c r="AR26" i="40"/>
  <c r="P51" i="27"/>
  <c r="AR41" i="40"/>
  <c r="P23" i="27"/>
  <c r="AR13" i="40"/>
  <c r="P19" i="27"/>
  <c r="AR9" i="40"/>
  <c r="P26" i="27"/>
  <c r="AR16" i="40"/>
  <c r="P87" i="27"/>
  <c r="AR77" i="40"/>
  <c r="P25" i="27"/>
  <c r="AR15" i="40"/>
  <c r="P82" i="27"/>
  <c r="AR72" i="40"/>
  <c r="P55" i="27"/>
  <c r="AR45" i="40"/>
  <c r="P77" i="27"/>
  <c r="AR67" i="40"/>
  <c r="P76" i="27"/>
  <c r="AR66" i="40"/>
  <c r="P18" i="27"/>
  <c r="AR8" i="40"/>
  <c r="P39" i="27"/>
  <c r="AR29" i="40"/>
  <c r="P73" i="27"/>
  <c r="AR63" i="40"/>
  <c r="P81" i="27"/>
  <c r="AR71" i="40"/>
  <c r="P38" i="27"/>
  <c r="AR28" i="40"/>
  <c r="P24" i="27"/>
  <c r="AR14" i="40"/>
  <c r="P56" i="27"/>
  <c r="AR46" i="40"/>
  <c r="P46" i="27"/>
  <c r="AR36" i="40"/>
  <c r="P35" i="27"/>
  <c r="AR25" i="40"/>
  <c r="P20" i="27"/>
  <c r="AR10" i="40"/>
  <c r="P61" i="27"/>
  <c r="AR51" i="40"/>
  <c r="P22" i="27"/>
  <c r="AR12" i="40"/>
  <c r="P57" i="27"/>
  <c r="AR47" i="40"/>
  <c r="P124" i="67"/>
  <c r="P59" i="27"/>
  <c r="AR49" i="40"/>
  <c r="P54" i="27"/>
  <c r="AR44" i="40"/>
  <c r="P52" i="27"/>
  <c r="AR42" i="40"/>
  <c r="P79" i="27"/>
  <c r="AR69" i="40"/>
  <c r="P29" i="27"/>
  <c r="AR19" i="40"/>
  <c r="P32" i="27"/>
  <c r="AR22" i="40"/>
  <c r="P28" i="27"/>
  <c r="AR18" i="40"/>
  <c r="P75" i="27"/>
  <c r="AR65" i="40"/>
  <c r="P58" i="27"/>
  <c r="AR48" i="40"/>
  <c r="P16" i="27"/>
  <c r="AR6" i="40"/>
  <c r="P70" i="27"/>
  <c r="AR60" i="40"/>
  <c r="P50" i="27"/>
  <c r="AR40" i="40"/>
  <c r="P62" i="27"/>
  <c r="AR52" i="40"/>
  <c r="P60" i="27"/>
  <c r="AR50" i="40"/>
  <c r="I27" i="50"/>
  <c r="I23" i="50"/>
  <c r="I26" i="50"/>
  <c r="I24" i="50"/>
  <c r="I15" i="50"/>
  <c r="I16" i="50"/>
  <c r="I22" i="50"/>
  <c r="I21" i="50"/>
  <c r="I28" i="50"/>
  <c r="I25" i="50"/>
  <c r="I20" i="50"/>
  <c r="I19" i="50"/>
  <c r="I18" i="50"/>
  <c r="I29" i="50"/>
  <c r="I17" i="50"/>
  <c r="AC73" i="40"/>
  <c r="AD73" i="40" s="1"/>
  <c r="AE73" i="40" s="1"/>
  <c r="AF73" i="40" s="1"/>
  <c r="AG73" i="40" s="1"/>
  <c r="AH73" i="40" s="1"/>
  <c r="AI73" i="40" s="1"/>
  <c r="I23" i="27"/>
  <c r="M24" i="9"/>
  <c r="E27" i="40"/>
  <c r="F27" i="40" s="1"/>
  <c r="G27" i="40" s="1"/>
  <c r="H27" i="40" s="1"/>
  <c r="I27" i="40" s="1"/>
  <c r="J27" i="40" s="1"/>
  <c r="K27" i="40" s="1"/>
  <c r="L27" i="40" s="1"/>
  <c r="M27" i="40" s="1"/>
  <c r="N27" i="40" s="1"/>
  <c r="O27" i="40" s="1"/>
  <c r="P27" i="40" s="1"/>
  <c r="Q27" i="40" s="1"/>
  <c r="R27" i="40" s="1"/>
  <c r="S27" i="40" s="1"/>
  <c r="E17" i="40"/>
  <c r="F17" i="40" s="1"/>
  <c r="G17" i="40" s="1"/>
  <c r="H17" i="40" s="1"/>
  <c r="I17" i="40" s="1"/>
  <c r="J17" i="40" s="1"/>
  <c r="K17" i="40" s="1"/>
  <c r="L17" i="40" s="1"/>
  <c r="M17" i="40" s="1"/>
  <c r="N17" i="40" s="1"/>
  <c r="O17" i="40" s="1"/>
  <c r="P17" i="40" s="1"/>
  <c r="Q17" i="40" s="1"/>
  <c r="R17" i="40" s="1"/>
  <c r="S17" i="40" s="1"/>
  <c r="E62" i="40"/>
  <c r="F62" i="40" s="1"/>
  <c r="G62" i="40" s="1"/>
  <c r="H62" i="40" s="1"/>
  <c r="I62" i="40" s="1"/>
  <c r="J62" i="40" s="1"/>
  <c r="K62" i="40" s="1"/>
  <c r="L62" i="40" s="1"/>
  <c r="M62" i="40" s="1"/>
  <c r="N62" i="40" s="1"/>
  <c r="O62" i="40" s="1"/>
  <c r="P62" i="40" s="1"/>
  <c r="Q62" i="40" s="1"/>
  <c r="R62" i="40" s="1"/>
  <c r="S62" i="40" s="1"/>
  <c r="N76" i="27"/>
  <c r="E21" i="40"/>
  <c r="F21" i="40" s="1"/>
  <c r="G21" i="40" s="1"/>
  <c r="H21" i="40" s="1"/>
  <c r="I21" i="40" s="1"/>
  <c r="J21" i="40" s="1"/>
  <c r="K21" i="40" s="1"/>
  <c r="L21" i="40" s="1"/>
  <c r="M21" i="40" s="1"/>
  <c r="N21" i="40" s="1"/>
  <c r="O21" i="40" s="1"/>
  <c r="P21" i="40" s="1"/>
  <c r="Q21" i="40" s="1"/>
  <c r="R21" i="40" s="1"/>
  <c r="S21" i="40" s="1"/>
  <c r="E59" i="40"/>
  <c r="F59" i="40" s="1"/>
  <c r="G59" i="40" s="1"/>
  <c r="H59" i="40" s="1"/>
  <c r="I59" i="40" s="1"/>
  <c r="J59" i="40" s="1"/>
  <c r="K59" i="40" s="1"/>
  <c r="L59" i="40" s="1"/>
  <c r="M59" i="40" s="1"/>
  <c r="N59" i="40" s="1"/>
  <c r="O59" i="40" s="1"/>
  <c r="P59" i="40" s="1"/>
  <c r="Q59" i="40" s="1"/>
  <c r="R59" i="40" s="1"/>
  <c r="S59" i="40" s="1"/>
  <c r="E6" i="40"/>
  <c r="F6" i="40" s="1"/>
  <c r="G6" i="40" s="1"/>
  <c r="H6" i="40" s="1"/>
  <c r="I6" i="40" s="1"/>
  <c r="J6" i="40" s="1"/>
  <c r="K6" i="40" s="1"/>
  <c r="L6" i="40" s="1"/>
  <c r="M6" i="40" s="1"/>
  <c r="N6" i="40" s="1"/>
  <c r="O6" i="40" s="1"/>
  <c r="P6" i="40" s="1"/>
  <c r="Q6" i="40" s="1"/>
  <c r="R6" i="40" s="1"/>
  <c r="S6" i="40" s="1"/>
  <c r="I75" i="27"/>
  <c r="N75" i="27"/>
  <c r="I38" i="27"/>
  <c r="I55" i="27"/>
  <c r="M26" i="9"/>
  <c r="N41" i="27"/>
  <c r="I6" i="67"/>
  <c r="J6" i="67" s="1"/>
  <c r="K6" i="67" s="1"/>
  <c r="L6" i="67" s="1"/>
  <c r="M6" i="67" s="1"/>
  <c r="N24" i="27"/>
  <c r="AB39" i="40"/>
  <c r="AA39" i="40" s="1"/>
  <c r="Z39" i="40" s="1"/>
  <c r="Y39" i="40" s="1"/>
  <c r="X39" i="40" s="1"/>
  <c r="W39" i="40" s="1"/>
  <c r="V39" i="40" s="1"/>
  <c r="U39" i="40" s="1"/>
  <c r="I41" i="27"/>
  <c r="V20" i="67"/>
  <c r="AB76" i="40"/>
  <c r="AC76" i="40" s="1"/>
  <c r="AD76" i="40" s="1"/>
  <c r="AE76" i="40" s="1"/>
  <c r="AF76" i="40" s="1"/>
  <c r="AG76" i="40" s="1"/>
  <c r="AH76" i="40" s="1"/>
  <c r="AI76" i="40" s="1"/>
  <c r="AB46" i="40"/>
  <c r="AC46" i="40" s="1"/>
  <c r="AD46" i="40" s="1"/>
  <c r="AE46" i="40" s="1"/>
  <c r="AF46" i="40" s="1"/>
  <c r="AG46" i="40" s="1"/>
  <c r="AH46" i="40" s="1"/>
  <c r="AI46" i="40" s="1"/>
  <c r="I68" i="27"/>
  <c r="Q103" i="67"/>
  <c r="H103" i="67" s="1"/>
  <c r="G103" i="67" s="1"/>
  <c r="F103" i="67" s="1"/>
  <c r="E103" i="67" s="1"/>
  <c r="D103" i="67" s="1"/>
  <c r="C103" i="67" s="1"/>
  <c r="AB42" i="40"/>
  <c r="AA42" i="40" s="1"/>
  <c r="Z42" i="40" s="1"/>
  <c r="Y42" i="40" s="1"/>
  <c r="X42" i="40" s="1"/>
  <c r="W42" i="40" s="1"/>
  <c r="V42" i="40" s="1"/>
  <c r="U42" i="40" s="1"/>
  <c r="AB71" i="40"/>
  <c r="AC71" i="40" s="1"/>
  <c r="AD71" i="40" s="1"/>
  <c r="AE71" i="40" s="1"/>
  <c r="AF71" i="40" s="1"/>
  <c r="AG71" i="40" s="1"/>
  <c r="AH71" i="40" s="1"/>
  <c r="AI71" i="40" s="1"/>
  <c r="AB54" i="40"/>
  <c r="AC54" i="40" s="1"/>
  <c r="AD54" i="40" s="1"/>
  <c r="AE54" i="40" s="1"/>
  <c r="AF54" i="40" s="1"/>
  <c r="AG54" i="40" s="1"/>
  <c r="AH54" i="40" s="1"/>
  <c r="AI54" i="40" s="1"/>
  <c r="I47" i="27"/>
  <c r="I65" i="27"/>
  <c r="M17" i="9"/>
  <c r="N23" i="9"/>
  <c r="I26" i="27"/>
  <c r="U6" i="40"/>
  <c r="N16" i="9"/>
  <c r="AA31" i="40"/>
  <c r="Z31" i="40" s="1"/>
  <c r="Y31" i="40" s="1"/>
  <c r="X31" i="40" s="1"/>
  <c r="W31" i="40" s="1"/>
  <c r="V31" i="40" s="1"/>
  <c r="U31" i="40" s="1"/>
  <c r="E53" i="40"/>
  <c r="F53" i="40" s="1"/>
  <c r="G53" i="40" s="1"/>
  <c r="H53" i="40" s="1"/>
  <c r="I53" i="40" s="1"/>
  <c r="J53" i="40" s="1"/>
  <c r="K53" i="40" s="1"/>
  <c r="L53" i="40" s="1"/>
  <c r="M53" i="40" s="1"/>
  <c r="N53" i="40" s="1"/>
  <c r="O53" i="40" s="1"/>
  <c r="P53" i="40" s="1"/>
  <c r="Q53" i="40" s="1"/>
  <c r="R53" i="40" s="1"/>
  <c r="S53" i="40" s="1"/>
  <c r="E39" i="40"/>
  <c r="F39" i="40" s="1"/>
  <c r="G39" i="40" s="1"/>
  <c r="H39" i="40" s="1"/>
  <c r="I39" i="40" s="1"/>
  <c r="J39" i="40" s="1"/>
  <c r="K39" i="40" s="1"/>
  <c r="L39" i="40" s="1"/>
  <c r="M39" i="40" s="1"/>
  <c r="N39" i="40" s="1"/>
  <c r="O39" i="40" s="1"/>
  <c r="P39" i="40" s="1"/>
  <c r="Q39" i="40" s="1"/>
  <c r="R39" i="40" s="1"/>
  <c r="S39" i="40" s="1"/>
  <c r="I39" i="27"/>
  <c r="I85" i="27"/>
  <c r="N22" i="27"/>
  <c r="I34" i="27"/>
  <c r="E32" i="40"/>
  <c r="F32" i="40" s="1"/>
  <c r="G32" i="40" s="1"/>
  <c r="H32" i="40" s="1"/>
  <c r="I32" i="40" s="1"/>
  <c r="J32" i="40" s="1"/>
  <c r="K32" i="40" s="1"/>
  <c r="L32" i="40" s="1"/>
  <c r="M32" i="40" s="1"/>
  <c r="N32" i="40" s="1"/>
  <c r="O32" i="40" s="1"/>
  <c r="P32" i="40" s="1"/>
  <c r="Q32" i="40" s="1"/>
  <c r="R32" i="40" s="1"/>
  <c r="S32" i="40" s="1"/>
  <c r="Q131" i="67"/>
  <c r="AA77" i="40"/>
  <c r="Z77" i="40" s="1"/>
  <c r="Y77" i="40" s="1"/>
  <c r="X77" i="40" s="1"/>
  <c r="W77" i="40" s="1"/>
  <c r="V77" i="40" s="1"/>
  <c r="U77" i="40" s="1"/>
  <c r="I61" i="27"/>
  <c r="I60" i="27"/>
  <c r="N26" i="27"/>
  <c r="N80" i="27"/>
  <c r="AB61" i="40"/>
  <c r="AA61" i="40" s="1"/>
  <c r="Z61" i="40" s="1"/>
  <c r="Y61" i="40" s="1"/>
  <c r="X61" i="40" s="1"/>
  <c r="W61" i="40" s="1"/>
  <c r="V61" i="40" s="1"/>
  <c r="U61" i="40" s="1"/>
  <c r="N83" i="27"/>
  <c r="G28" i="50" s="1"/>
  <c r="I64" i="27"/>
  <c r="P47" i="67"/>
  <c r="H47" i="67" s="1"/>
  <c r="I47" i="67" s="1"/>
  <c r="J47" i="67" s="1"/>
  <c r="K47" i="67" s="1"/>
  <c r="L47" i="67" s="1"/>
  <c r="M47" i="67" s="1"/>
  <c r="M11" i="9"/>
  <c r="I79" i="27"/>
  <c r="AC29" i="40"/>
  <c r="AD29" i="40" s="1"/>
  <c r="AE29" i="40" s="1"/>
  <c r="AF29" i="40" s="1"/>
  <c r="AG29" i="40" s="1"/>
  <c r="AH29" i="40" s="1"/>
  <c r="AI29" i="40" s="1"/>
  <c r="AB15" i="40"/>
  <c r="AC15" i="40" s="1"/>
  <c r="AD15" i="40" s="1"/>
  <c r="AE15" i="40" s="1"/>
  <c r="AF15" i="40" s="1"/>
  <c r="AG15" i="40" s="1"/>
  <c r="AH15" i="40" s="1"/>
  <c r="AI15" i="40" s="1"/>
  <c r="AB38" i="40"/>
  <c r="AA38" i="40" s="1"/>
  <c r="Z38" i="40" s="1"/>
  <c r="Y38" i="40" s="1"/>
  <c r="X38" i="40" s="1"/>
  <c r="W38" i="40" s="1"/>
  <c r="V38" i="40" s="1"/>
  <c r="U38" i="40" s="1"/>
  <c r="N46" i="27"/>
  <c r="E76" i="40"/>
  <c r="F76" i="40" s="1"/>
  <c r="G76" i="40" s="1"/>
  <c r="H76" i="40" s="1"/>
  <c r="I76" i="40" s="1"/>
  <c r="J76" i="40" s="1"/>
  <c r="K76" i="40" s="1"/>
  <c r="L76" i="40" s="1"/>
  <c r="M76" i="40" s="1"/>
  <c r="N76" i="40" s="1"/>
  <c r="O76" i="40" s="1"/>
  <c r="P76" i="40" s="1"/>
  <c r="Q76" i="40" s="1"/>
  <c r="R76" i="40" s="1"/>
  <c r="S76" i="40" s="1"/>
  <c r="AC75" i="40"/>
  <c r="AD75" i="40" s="1"/>
  <c r="AE75" i="40" s="1"/>
  <c r="AF75" i="40" s="1"/>
  <c r="AG75" i="40" s="1"/>
  <c r="AH75" i="40" s="1"/>
  <c r="AI75" i="40" s="1"/>
  <c r="I73" i="27"/>
  <c r="N85" i="27"/>
  <c r="AB20" i="40"/>
  <c r="AC20" i="40" s="1"/>
  <c r="AD20" i="40" s="1"/>
  <c r="AE20" i="40" s="1"/>
  <c r="AF20" i="40" s="1"/>
  <c r="AG20" i="40" s="1"/>
  <c r="AH20" i="40" s="1"/>
  <c r="AI20" i="40" s="1"/>
  <c r="I19" i="27"/>
  <c r="N44" i="27"/>
  <c r="AC67" i="40"/>
  <c r="AD67" i="40" s="1"/>
  <c r="AE67" i="40" s="1"/>
  <c r="AF67" i="40" s="1"/>
  <c r="AG67" i="40" s="1"/>
  <c r="AH67" i="40" s="1"/>
  <c r="AI67" i="40" s="1"/>
  <c r="I57" i="27"/>
  <c r="AB69" i="40"/>
  <c r="AC69" i="40" s="1"/>
  <c r="AD69" i="40" s="1"/>
  <c r="AE69" i="40" s="1"/>
  <c r="AF69" i="40" s="1"/>
  <c r="AG69" i="40" s="1"/>
  <c r="AH69" i="40" s="1"/>
  <c r="AI69" i="40" s="1"/>
  <c r="AC21" i="40"/>
  <c r="AD21" i="40" s="1"/>
  <c r="AE21" i="40" s="1"/>
  <c r="AF21" i="40" s="1"/>
  <c r="AG21" i="40" s="1"/>
  <c r="AH21" i="40" s="1"/>
  <c r="AI21" i="40" s="1"/>
  <c r="N40" i="27"/>
  <c r="I62" i="27"/>
  <c r="N39" i="27"/>
  <c r="E48" i="40"/>
  <c r="F48" i="40" s="1"/>
  <c r="G48" i="40" s="1"/>
  <c r="H48" i="40" s="1"/>
  <c r="I48" i="40" s="1"/>
  <c r="J48" i="40" s="1"/>
  <c r="K48" i="40" s="1"/>
  <c r="L48" i="40" s="1"/>
  <c r="M48" i="40" s="1"/>
  <c r="N48" i="40" s="1"/>
  <c r="O48" i="40" s="1"/>
  <c r="P48" i="40" s="1"/>
  <c r="Q48" i="40" s="1"/>
  <c r="R48" i="40" s="1"/>
  <c r="S48" i="40" s="1"/>
  <c r="U23" i="67"/>
  <c r="P118" i="67" s="1"/>
  <c r="P119" i="67" s="1"/>
  <c r="P120" i="67" s="1"/>
  <c r="P121" i="67" s="1"/>
  <c r="P40" i="67"/>
  <c r="I53" i="27"/>
  <c r="AB53" i="40"/>
  <c r="AA53" i="40" s="1"/>
  <c r="Z53" i="40" s="1"/>
  <c r="Y53" i="40" s="1"/>
  <c r="X53" i="40" s="1"/>
  <c r="W53" i="40" s="1"/>
  <c r="V53" i="40" s="1"/>
  <c r="U53" i="40" s="1"/>
  <c r="E56" i="40"/>
  <c r="F56" i="40" s="1"/>
  <c r="G56" i="40" s="1"/>
  <c r="H56" i="40" s="1"/>
  <c r="I56" i="40" s="1"/>
  <c r="J56" i="40" s="1"/>
  <c r="K56" i="40" s="1"/>
  <c r="L56" i="40" s="1"/>
  <c r="M56" i="40" s="1"/>
  <c r="N56" i="40" s="1"/>
  <c r="O56" i="40" s="1"/>
  <c r="P56" i="40" s="1"/>
  <c r="Q56" i="40" s="1"/>
  <c r="R56" i="40" s="1"/>
  <c r="S56" i="40" s="1"/>
  <c r="I88" i="27"/>
  <c r="U20" i="67"/>
  <c r="P97" i="67" s="1"/>
  <c r="P98" i="67" s="1"/>
  <c r="P99" i="67" s="1"/>
  <c r="U7" i="67"/>
  <c r="Q7" i="67" s="1"/>
  <c r="Q8" i="67" s="1"/>
  <c r="Q9" i="67" s="1"/>
  <c r="Q10" i="67" s="1"/>
  <c r="Q11" i="67" s="1"/>
  <c r="I17" i="27"/>
  <c r="I43" i="27"/>
  <c r="I29" i="27"/>
  <c r="E38" i="40"/>
  <c r="F38" i="40" s="1"/>
  <c r="G38" i="40" s="1"/>
  <c r="H38" i="40" s="1"/>
  <c r="I38" i="40" s="1"/>
  <c r="J38" i="40" s="1"/>
  <c r="K38" i="40" s="1"/>
  <c r="L38" i="40" s="1"/>
  <c r="M38" i="40" s="1"/>
  <c r="N38" i="40" s="1"/>
  <c r="O38" i="40" s="1"/>
  <c r="P38" i="40" s="1"/>
  <c r="Q38" i="40" s="1"/>
  <c r="R38" i="40" s="1"/>
  <c r="S38" i="40" s="1"/>
  <c r="I46" i="27"/>
  <c r="AB47" i="40"/>
  <c r="AC47" i="40" s="1"/>
  <c r="AD47" i="40" s="1"/>
  <c r="AE47" i="40" s="1"/>
  <c r="AF47" i="40" s="1"/>
  <c r="AG47" i="40" s="1"/>
  <c r="AH47" i="40" s="1"/>
  <c r="AI47" i="40" s="1"/>
  <c r="V15" i="67"/>
  <c r="V24" i="67"/>
  <c r="AB22" i="40"/>
  <c r="AA22" i="40" s="1"/>
  <c r="Z22" i="40" s="1"/>
  <c r="Y22" i="40" s="1"/>
  <c r="X22" i="40" s="1"/>
  <c r="W22" i="40" s="1"/>
  <c r="V22" i="40" s="1"/>
  <c r="U22" i="40" s="1"/>
  <c r="N36" i="27"/>
  <c r="AB50" i="40"/>
  <c r="AC50" i="40" s="1"/>
  <c r="AD50" i="40" s="1"/>
  <c r="AE50" i="40" s="1"/>
  <c r="AF50" i="40" s="1"/>
  <c r="AG50" i="40" s="1"/>
  <c r="AH50" i="40" s="1"/>
  <c r="AI50" i="40" s="1"/>
  <c r="AB6" i="40"/>
  <c r="AC6" i="40" s="1"/>
  <c r="AD6" i="40" s="1"/>
  <c r="AE6" i="40" s="1"/>
  <c r="AF6" i="40" s="1"/>
  <c r="AG6" i="40" s="1"/>
  <c r="AH6" i="40" s="1"/>
  <c r="AI6" i="40" s="1"/>
  <c r="N28" i="27"/>
  <c r="G17" i="50" s="1"/>
  <c r="E23" i="40"/>
  <c r="F23" i="40" s="1"/>
  <c r="G23" i="40" s="1"/>
  <c r="H23" i="40" s="1"/>
  <c r="I23" i="40" s="1"/>
  <c r="J23" i="40" s="1"/>
  <c r="K23" i="40" s="1"/>
  <c r="L23" i="40" s="1"/>
  <c r="M23" i="40" s="1"/>
  <c r="N23" i="40" s="1"/>
  <c r="O23" i="40" s="1"/>
  <c r="P23" i="40" s="1"/>
  <c r="Q23" i="40" s="1"/>
  <c r="R23" i="40" s="1"/>
  <c r="S23" i="40" s="1"/>
  <c r="E49" i="40"/>
  <c r="F49" i="40" s="1"/>
  <c r="G49" i="40" s="1"/>
  <c r="H49" i="40" s="1"/>
  <c r="I49" i="40" s="1"/>
  <c r="J49" i="40" s="1"/>
  <c r="K49" i="40" s="1"/>
  <c r="L49" i="40" s="1"/>
  <c r="M49" i="40" s="1"/>
  <c r="N49" i="40" s="1"/>
  <c r="O49" i="40" s="1"/>
  <c r="P49" i="40" s="1"/>
  <c r="Q49" i="40" s="1"/>
  <c r="R49" i="40" s="1"/>
  <c r="S49" i="40" s="1"/>
  <c r="I83" i="27"/>
  <c r="AB51" i="40"/>
  <c r="AC51" i="40" s="1"/>
  <c r="AD51" i="40" s="1"/>
  <c r="AE51" i="40" s="1"/>
  <c r="AF51" i="40" s="1"/>
  <c r="AG51" i="40" s="1"/>
  <c r="AH51" i="40" s="1"/>
  <c r="AI51" i="40" s="1"/>
  <c r="N35" i="27"/>
  <c r="N87" i="27"/>
  <c r="I36" i="27"/>
  <c r="M20" i="9"/>
  <c r="N27" i="9"/>
  <c r="V21" i="67"/>
  <c r="N19" i="9"/>
  <c r="H61" i="67"/>
  <c r="I61" i="67" s="1"/>
  <c r="J61" i="67" s="1"/>
  <c r="K61" i="67" s="1"/>
  <c r="L61" i="67" s="1"/>
  <c r="M61" i="67" s="1"/>
  <c r="E77" i="40"/>
  <c r="F77" i="40" s="1"/>
  <c r="G77" i="40" s="1"/>
  <c r="H77" i="40" s="1"/>
  <c r="I77" i="40" s="1"/>
  <c r="J77" i="40" s="1"/>
  <c r="K77" i="40" s="1"/>
  <c r="L77" i="40" s="1"/>
  <c r="M77" i="40" s="1"/>
  <c r="N77" i="40" s="1"/>
  <c r="O77" i="40" s="1"/>
  <c r="P77" i="40" s="1"/>
  <c r="Q77" i="40" s="1"/>
  <c r="R77" i="40" s="1"/>
  <c r="S77" i="40" s="1"/>
  <c r="AB78" i="40"/>
  <c r="AA78" i="40" s="1"/>
  <c r="Z78" i="40" s="1"/>
  <c r="Y78" i="40" s="1"/>
  <c r="X78" i="40" s="1"/>
  <c r="W78" i="40" s="1"/>
  <c r="V78" i="40" s="1"/>
  <c r="U78" i="40" s="1"/>
  <c r="I71" i="27"/>
  <c r="I21" i="27"/>
  <c r="N42" i="27"/>
  <c r="AB44" i="40"/>
  <c r="AC44" i="40" s="1"/>
  <c r="AD44" i="40" s="1"/>
  <c r="AE44" i="40" s="1"/>
  <c r="AF44" i="40" s="1"/>
  <c r="AG44" i="40" s="1"/>
  <c r="AH44" i="40" s="1"/>
  <c r="AI44" i="40" s="1"/>
  <c r="N78" i="27"/>
  <c r="G27" i="50" s="1"/>
  <c r="N43" i="27"/>
  <c r="G20" i="50" s="1"/>
  <c r="I67" i="27"/>
  <c r="E70" i="40"/>
  <c r="F70" i="40" s="1"/>
  <c r="G70" i="40" s="1"/>
  <c r="H70" i="40" s="1"/>
  <c r="I70" i="40" s="1"/>
  <c r="J70" i="40" s="1"/>
  <c r="K70" i="40" s="1"/>
  <c r="L70" i="40" s="1"/>
  <c r="M70" i="40" s="1"/>
  <c r="N70" i="40" s="1"/>
  <c r="O70" i="40" s="1"/>
  <c r="P70" i="40" s="1"/>
  <c r="Q70" i="40" s="1"/>
  <c r="R70" i="40" s="1"/>
  <c r="S70" i="40" s="1"/>
  <c r="P26" i="67"/>
  <c r="AB13" i="40"/>
  <c r="AC13" i="40" s="1"/>
  <c r="AD13" i="40" s="1"/>
  <c r="AE13" i="40" s="1"/>
  <c r="AF13" i="40" s="1"/>
  <c r="AG13" i="40" s="1"/>
  <c r="AH13" i="40" s="1"/>
  <c r="AI13" i="40" s="1"/>
  <c r="H75" i="67"/>
  <c r="G75" i="67" s="1"/>
  <c r="F75" i="67" s="1"/>
  <c r="E75" i="67" s="1"/>
  <c r="D75" i="67" s="1"/>
  <c r="C75" i="67" s="1"/>
  <c r="N65" i="27"/>
  <c r="Q89" i="67"/>
  <c r="H89" i="67" s="1"/>
  <c r="G89" i="67" s="1"/>
  <c r="F89" i="67" s="1"/>
  <c r="E89" i="67" s="1"/>
  <c r="D89" i="67" s="1"/>
  <c r="C89" i="67" s="1"/>
  <c r="AC35" i="40"/>
  <c r="AD35" i="40" s="1"/>
  <c r="AE35" i="40" s="1"/>
  <c r="AF35" i="40" s="1"/>
  <c r="AG35" i="40" s="1"/>
  <c r="AH35" i="40" s="1"/>
  <c r="AI35" i="40" s="1"/>
  <c r="AA55" i="40"/>
  <c r="Z55" i="40" s="1"/>
  <c r="Y55" i="40" s="1"/>
  <c r="X55" i="40" s="1"/>
  <c r="W55" i="40" s="1"/>
  <c r="V55" i="40" s="1"/>
  <c r="U55" i="40" s="1"/>
  <c r="AB28" i="40"/>
  <c r="AA28" i="40" s="1"/>
  <c r="Z28" i="40" s="1"/>
  <c r="Y28" i="40" s="1"/>
  <c r="X28" i="40" s="1"/>
  <c r="W28" i="40" s="1"/>
  <c r="V28" i="40" s="1"/>
  <c r="U28" i="40" s="1"/>
  <c r="AB58" i="40"/>
  <c r="AA58" i="40" s="1"/>
  <c r="Z58" i="40" s="1"/>
  <c r="Y58" i="40" s="1"/>
  <c r="X58" i="40" s="1"/>
  <c r="W58" i="40" s="1"/>
  <c r="V58" i="40" s="1"/>
  <c r="U58" i="40" s="1"/>
  <c r="N27" i="27"/>
  <c r="I25" i="27"/>
  <c r="I51" i="27"/>
  <c r="N73" i="27"/>
  <c r="G26" i="50" s="1"/>
  <c r="E12" i="40"/>
  <c r="F12" i="40" s="1"/>
  <c r="G12" i="40" s="1"/>
  <c r="H12" i="40" s="1"/>
  <c r="I12" i="40" s="1"/>
  <c r="J12" i="40" s="1"/>
  <c r="K12" i="40" s="1"/>
  <c r="L12" i="40" s="1"/>
  <c r="M12" i="40" s="1"/>
  <c r="N12" i="40" s="1"/>
  <c r="O12" i="40" s="1"/>
  <c r="P12" i="40" s="1"/>
  <c r="Q12" i="40" s="1"/>
  <c r="R12" i="40" s="1"/>
  <c r="S12" i="40" s="1"/>
  <c r="U14" i="67"/>
  <c r="P55" i="67" s="1"/>
  <c r="AC63" i="40"/>
  <c r="AD63" i="40" s="1"/>
  <c r="AE63" i="40" s="1"/>
  <c r="AF63" i="40" s="1"/>
  <c r="AG63" i="40" s="1"/>
  <c r="AH63" i="40" s="1"/>
  <c r="AI63" i="40" s="1"/>
  <c r="AC11" i="40"/>
  <c r="AD11" i="40" s="1"/>
  <c r="AE11" i="40" s="1"/>
  <c r="AF11" i="40" s="1"/>
  <c r="AG11" i="40" s="1"/>
  <c r="AH11" i="40" s="1"/>
  <c r="AI11" i="40" s="1"/>
  <c r="N17" i="27"/>
  <c r="I50" i="27"/>
  <c r="AB8" i="40"/>
  <c r="AA8" i="40" s="1"/>
  <c r="Z8" i="40" s="1"/>
  <c r="Y8" i="40" s="1"/>
  <c r="X8" i="40" s="1"/>
  <c r="W8" i="40" s="1"/>
  <c r="V8" i="40" s="1"/>
  <c r="U8" i="40" s="1"/>
  <c r="AB60" i="40"/>
  <c r="AA60" i="40" s="1"/>
  <c r="Z60" i="40" s="1"/>
  <c r="Y60" i="40" s="1"/>
  <c r="X60" i="40" s="1"/>
  <c r="W60" i="40" s="1"/>
  <c r="V60" i="40" s="1"/>
  <c r="U60" i="40" s="1"/>
  <c r="AC59" i="40"/>
  <c r="AD59" i="40" s="1"/>
  <c r="AE59" i="40" s="1"/>
  <c r="AF59" i="40" s="1"/>
  <c r="AG59" i="40" s="1"/>
  <c r="AH59" i="40" s="1"/>
  <c r="AI59" i="40" s="1"/>
  <c r="AB40" i="40"/>
  <c r="AA40" i="40" s="1"/>
  <c r="Z40" i="40" s="1"/>
  <c r="Y40" i="40" s="1"/>
  <c r="X40" i="40" s="1"/>
  <c r="W40" i="40" s="1"/>
  <c r="V40" i="40" s="1"/>
  <c r="U40" i="40" s="1"/>
  <c r="N77" i="27"/>
  <c r="V9" i="67"/>
  <c r="P33" i="67"/>
  <c r="P82" i="67"/>
  <c r="H82" i="67" s="1"/>
  <c r="G82" i="67" s="1"/>
  <c r="F82" i="67" s="1"/>
  <c r="E82" i="67" s="1"/>
  <c r="D82" i="67" s="1"/>
  <c r="C82" i="67" s="1"/>
  <c r="P68" i="67"/>
  <c r="H68" i="67" s="1"/>
  <c r="G68" i="67" s="1"/>
  <c r="F68" i="67" s="1"/>
  <c r="E68" i="67" s="1"/>
  <c r="D68" i="67" s="1"/>
  <c r="C68" i="67" s="1"/>
  <c r="M23" i="9"/>
  <c r="M22" i="9"/>
  <c r="U16" i="67"/>
  <c r="Q69" i="67" s="1"/>
  <c r="Q70" i="67" s="1"/>
  <c r="Q71" i="67" s="1"/>
  <c r="Q72" i="67" s="1"/>
  <c r="Q73" i="67" s="1"/>
  <c r="Q74" i="67" s="1"/>
  <c r="AC33" i="40"/>
  <c r="AD33" i="40" s="1"/>
  <c r="AE33" i="40" s="1"/>
  <c r="AF33" i="40" s="1"/>
  <c r="AG33" i="40" s="1"/>
  <c r="AH33" i="40" s="1"/>
  <c r="AI33" i="40" s="1"/>
  <c r="I77" i="27"/>
  <c r="N74" i="27"/>
  <c r="I45" i="27"/>
  <c r="N37" i="27"/>
  <c r="I24" i="27"/>
  <c r="I40" i="27"/>
  <c r="N21" i="27"/>
  <c r="E34" i="40"/>
  <c r="F34" i="40" s="1"/>
  <c r="G34" i="40" s="1"/>
  <c r="H34" i="40" s="1"/>
  <c r="I34" i="40" s="1"/>
  <c r="J34" i="40" s="1"/>
  <c r="K34" i="40" s="1"/>
  <c r="L34" i="40" s="1"/>
  <c r="M34" i="40" s="1"/>
  <c r="N34" i="40" s="1"/>
  <c r="O34" i="40" s="1"/>
  <c r="P34" i="40" s="1"/>
  <c r="Q34" i="40" s="1"/>
  <c r="R34" i="40" s="1"/>
  <c r="S34" i="40" s="1"/>
  <c r="M12" i="9"/>
  <c r="U18" i="67"/>
  <c r="Q83" i="67" s="1"/>
  <c r="Q84" i="67" s="1"/>
  <c r="Q85" i="67" s="1"/>
  <c r="Q124" i="67"/>
  <c r="U11" i="67"/>
  <c r="N69" i="27"/>
  <c r="N45" i="27"/>
  <c r="U19" i="67"/>
  <c r="P90" i="67" s="1"/>
  <c r="P91" i="67" s="1"/>
  <c r="P92" i="67" s="1"/>
  <c r="U8" i="67"/>
  <c r="P13" i="67" s="1"/>
  <c r="P14" i="67" s="1"/>
  <c r="P15" i="67" s="1"/>
  <c r="Q19" i="67"/>
  <c r="H19" i="67" s="1"/>
  <c r="G19" i="67" s="1"/>
  <c r="F19" i="67" s="1"/>
  <c r="E19" i="67" s="1"/>
  <c r="D19" i="67" s="1"/>
  <c r="C19" i="67" s="1"/>
  <c r="H96" i="67"/>
  <c r="I96" i="67" s="1"/>
  <c r="J96" i="67" s="1"/>
  <c r="K96" i="67" s="1"/>
  <c r="L96" i="67" s="1"/>
  <c r="M96" i="67" s="1"/>
  <c r="AB52" i="40"/>
  <c r="AC52" i="40" s="1"/>
  <c r="AD52" i="40" s="1"/>
  <c r="AE52" i="40" s="1"/>
  <c r="AF52" i="40" s="1"/>
  <c r="AG52" i="40" s="1"/>
  <c r="AH52" i="40" s="1"/>
  <c r="AI52" i="40" s="1"/>
  <c r="E42" i="40"/>
  <c r="F42" i="40" s="1"/>
  <c r="G42" i="40" s="1"/>
  <c r="H42" i="40" s="1"/>
  <c r="I42" i="40" s="1"/>
  <c r="J42" i="40" s="1"/>
  <c r="K42" i="40" s="1"/>
  <c r="L42" i="40" s="1"/>
  <c r="M42" i="40" s="1"/>
  <c r="N42" i="40" s="1"/>
  <c r="O42" i="40" s="1"/>
  <c r="P42" i="40" s="1"/>
  <c r="Q42" i="40" s="1"/>
  <c r="R42" i="40" s="1"/>
  <c r="S42" i="40" s="1"/>
  <c r="AB49" i="40"/>
  <c r="AC49" i="40" s="1"/>
  <c r="AD49" i="40" s="1"/>
  <c r="AE49" i="40" s="1"/>
  <c r="AF49" i="40" s="1"/>
  <c r="AG49" i="40" s="1"/>
  <c r="AH49" i="40" s="1"/>
  <c r="AI49" i="40" s="1"/>
  <c r="I35" i="27"/>
  <c r="N20" i="9"/>
  <c r="M18" i="9"/>
  <c r="U9" i="67"/>
  <c r="P20" i="67" s="1"/>
  <c r="P21" i="67" s="1"/>
  <c r="P22" i="67" s="1"/>
  <c r="N33" i="27"/>
  <c r="G18" i="50" s="1"/>
  <c r="N20" i="27"/>
  <c r="N82" i="27"/>
  <c r="N72" i="27"/>
  <c r="AB24" i="40"/>
  <c r="AC24" i="40" s="1"/>
  <c r="AD24" i="40" s="1"/>
  <c r="AE24" i="40" s="1"/>
  <c r="AF24" i="40" s="1"/>
  <c r="AG24" i="40" s="1"/>
  <c r="AH24" i="40" s="1"/>
  <c r="AI24" i="40" s="1"/>
  <c r="AC25" i="40"/>
  <c r="AD25" i="40" s="1"/>
  <c r="AE25" i="40" s="1"/>
  <c r="AF25" i="40" s="1"/>
  <c r="AG25" i="40" s="1"/>
  <c r="AH25" i="40" s="1"/>
  <c r="AI25" i="40" s="1"/>
  <c r="I74" i="27"/>
  <c r="AB37" i="40"/>
  <c r="AA37" i="40" s="1"/>
  <c r="Z37" i="40" s="1"/>
  <c r="Y37" i="40" s="1"/>
  <c r="X37" i="40" s="1"/>
  <c r="W37" i="40" s="1"/>
  <c r="V37" i="40" s="1"/>
  <c r="U37" i="40" s="1"/>
  <c r="U17" i="67"/>
  <c r="P76" i="67" s="1"/>
  <c r="P77" i="67" s="1"/>
  <c r="P78" i="67" s="1"/>
  <c r="U21" i="67"/>
  <c r="P104" i="67" s="1"/>
  <c r="P105" i="67" s="1"/>
  <c r="U22" i="67"/>
  <c r="AC43" i="40"/>
  <c r="AD43" i="40" s="1"/>
  <c r="AE43" i="40" s="1"/>
  <c r="AF43" i="40" s="1"/>
  <c r="AG43" i="40" s="1"/>
  <c r="AH43" i="40" s="1"/>
  <c r="AI43" i="40" s="1"/>
  <c r="AA41" i="40"/>
  <c r="Z41" i="40" s="1"/>
  <c r="Y41" i="40" s="1"/>
  <c r="X41" i="40" s="1"/>
  <c r="W41" i="40" s="1"/>
  <c r="V41" i="40" s="1"/>
  <c r="U41" i="40" s="1"/>
  <c r="AB74" i="40"/>
  <c r="AA74" i="40" s="1"/>
  <c r="Z74" i="40" s="1"/>
  <c r="Y74" i="40" s="1"/>
  <c r="X74" i="40" s="1"/>
  <c r="W74" i="40" s="1"/>
  <c r="V74" i="40" s="1"/>
  <c r="U74" i="40" s="1"/>
  <c r="N58" i="27"/>
  <c r="G23" i="50" s="1"/>
  <c r="I30" i="27"/>
  <c r="I81" i="27"/>
  <c r="N29" i="27"/>
  <c r="N66" i="27"/>
  <c r="I18" i="27"/>
  <c r="AB45" i="40"/>
  <c r="AC45" i="40" s="1"/>
  <c r="AD45" i="40" s="1"/>
  <c r="AE45" i="40" s="1"/>
  <c r="AF45" i="40" s="1"/>
  <c r="AG45" i="40" s="1"/>
  <c r="AH45" i="40" s="1"/>
  <c r="AI45" i="40" s="1"/>
  <c r="I70" i="27"/>
  <c r="N51" i="27"/>
  <c r="AB57" i="40"/>
  <c r="AA57" i="40" s="1"/>
  <c r="Z57" i="40" s="1"/>
  <c r="Y57" i="40" s="1"/>
  <c r="X57" i="40" s="1"/>
  <c r="W57" i="40" s="1"/>
  <c r="V57" i="40" s="1"/>
  <c r="U57" i="40" s="1"/>
  <c r="E74" i="40"/>
  <c r="F74" i="40" s="1"/>
  <c r="G74" i="40" s="1"/>
  <c r="H74" i="40" s="1"/>
  <c r="I74" i="40" s="1"/>
  <c r="J74" i="40" s="1"/>
  <c r="K74" i="40" s="1"/>
  <c r="L74" i="40" s="1"/>
  <c r="M74" i="40" s="1"/>
  <c r="N74" i="40" s="1"/>
  <c r="O74" i="40" s="1"/>
  <c r="P74" i="40" s="1"/>
  <c r="Q74" i="40" s="1"/>
  <c r="R74" i="40" s="1"/>
  <c r="S74" i="40" s="1"/>
  <c r="V19" i="67"/>
  <c r="V18" i="67"/>
  <c r="P110" i="67"/>
  <c r="Q12" i="67"/>
  <c r="H12" i="67" s="1"/>
  <c r="I12" i="67" s="1"/>
  <c r="J12" i="67" s="1"/>
  <c r="K12" i="67" s="1"/>
  <c r="L12" i="67" s="1"/>
  <c r="M12" i="67" s="1"/>
  <c r="E46" i="40"/>
  <c r="F46" i="40" s="1"/>
  <c r="G46" i="40" s="1"/>
  <c r="H46" i="40" s="1"/>
  <c r="I46" i="40" s="1"/>
  <c r="J46" i="40" s="1"/>
  <c r="K46" i="40" s="1"/>
  <c r="L46" i="40" s="1"/>
  <c r="M46" i="40" s="1"/>
  <c r="N46" i="40" s="1"/>
  <c r="O46" i="40" s="1"/>
  <c r="P46" i="40" s="1"/>
  <c r="Q46" i="40" s="1"/>
  <c r="R46" i="40" s="1"/>
  <c r="S46" i="40" s="1"/>
  <c r="I20" i="27"/>
  <c r="AC65" i="40"/>
  <c r="AD65" i="40" s="1"/>
  <c r="AE65" i="40" s="1"/>
  <c r="AF65" i="40" s="1"/>
  <c r="AG65" i="40" s="1"/>
  <c r="AH65" i="40" s="1"/>
  <c r="AI65" i="40" s="1"/>
  <c r="N53" i="27"/>
  <c r="G22" i="50" s="1"/>
  <c r="V16" i="67"/>
  <c r="V11" i="67"/>
  <c r="V17" i="67"/>
  <c r="V12" i="67"/>
  <c r="V7" i="67"/>
  <c r="Q33" i="67"/>
  <c r="Q40" i="67"/>
  <c r="P131" i="67"/>
  <c r="U24" i="67"/>
  <c r="E68" i="40"/>
  <c r="F68" i="40" s="1"/>
  <c r="G68" i="40" s="1"/>
  <c r="H68" i="40" s="1"/>
  <c r="I68" i="40" s="1"/>
  <c r="J68" i="40" s="1"/>
  <c r="K68" i="40" s="1"/>
  <c r="L68" i="40" s="1"/>
  <c r="M68" i="40" s="1"/>
  <c r="N68" i="40" s="1"/>
  <c r="O68" i="40" s="1"/>
  <c r="P68" i="40" s="1"/>
  <c r="Q68" i="40" s="1"/>
  <c r="R68" i="40" s="1"/>
  <c r="S68" i="40" s="1"/>
  <c r="N31" i="27"/>
  <c r="E18" i="40"/>
  <c r="F18" i="40" s="1"/>
  <c r="G18" i="40" s="1"/>
  <c r="H18" i="40" s="1"/>
  <c r="I18" i="40" s="1"/>
  <c r="J18" i="40" s="1"/>
  <c r="K18" i="40" s="1"/>
  <c r="L18" i="40" s="1"/>
  <c r="M18" i="40" s="1"/>
  <c r="N18" i="40" s="1"/>
  <c r="O18" i="40" s="1"/>
  <c r="P18" i="40" s="1"/>
  <c r="Q18" i="40" s="1"/>
  <c r="R18" i="40" s="1"/>
  <c r="S18" i="40" s="1"/>
  <c r="E44" i="40"/>
  <c r="F44" i="40" s="1"/>
  <c r="G44" i="40" s="1"/>
  <c r="H44" i="40" s="1"/>
  <c r="I44" i="40" s="1"/>
  <c r="J44" i="40" s="1"/>
  <c r="K44" i="40" s="1"/>
  <c r="L44" i="40" s="1"/>
  <c r="M44" i="40" s="1"/>
  <c r="N44" i="40" s="1"/>
  <c r="O44" i="40" s="1"/>
  <c r="P44" i="40" s="1"/>
  <c r="Q44" i="40" s="1"/>
  <c r="R44" i="40" s="1"/>
  <c r="S44" i="40" s="1"/>
  <c r="V10" i="67"/>
  <c r="V8" i="67"/>
  <c r="U10" i="67"/>
  <c r="N18" i="9"/>
  <c r="U12" i="67"/>
  <c r="Q117" i="67"/>
  <c r="H117" i="67" s="1"/>
  <c r="G117" i="67" s="1"/>
  <c r="F117" i="67" s="1"/>
  <c r="E117" i="67" s="1"/>
  <c r="D117" i="67" s="1"/>
  <c r="C117" i="67" s="1"/>
  <c r="N21" i="9"/>
  <c r="U13" i="67"/>
  <c r="Q48" i="67" s="1"/>
  <c r="Q49" i="67" s="1"/>
  <c r="Q50" i="67" s="1"/>
  <c r="Q51" i="67" s="1"/>
  <c r="Q52" i="67" s="1"/>
  <c r="Q53" i="67" s="1"/>
  <c r="V23" i="67"/>
  <c r="U15" i="67"/>
  <c r="P62" i="67" s="1"/>
  <c r="P63" i="67" s="1"/>
  <c r="P64" i="67" s="1"/>
  <c r="E66" i="40"/>
  <c r="F66" i="40" s="1"/>
  <c r="G66" i="40" s="1"/>
  <c r="H66" i="40" s="1"/>
  <c r="I66" i="40" s="1"/>
  <c r="J66" i="40" s="1"/>
  <c r="K66" i="40" s="1"/>
  <c r="L66" i="40" s="1"/>
  <c r="M66" i="40" s="1"/>
  <c r="N66" i="40" s="1"/>
  <c r="O66" i="40" s="1"/>
  <c r="P66" i="40" s="1"/>
  <c r="Q66" i="40" s="1"/>
  <c r="R66" i="40" s="1"/>
  <c r="S66" i="40" s="1"/>
  <c r="I76" i="27"/>
  <c r="C4" i="66"/>
  <c r="F4" i="66"/>
  <c r="AB9" i="40"/>
  <c r="V13" i="67"/>
  <c r="Q110" i="67"/>
  <c r="V22" i="67"/>
  <c r="V14" i="67"/>
  <c r="Q54" i="67"/>
  <c r="H54" i="67" s="1"/>
  <c r="G54" i="67" s="1"/>
  <c r="F54" i="67" s="1"/>
  <c r="E54" i="67" s="1"/>
  <c r="D54" i="67" s="1"/>
  <c r="C54" i="67" s="1"/>
  <c r="B18" i="27"/>
  <c r="B31" i="28"/>
  <c r="AC68" i="40"/>
  <c r="AD68" i="40" s="1"/>
  <c r="AE68" i="40" s="1"/>
  <c r="AF68" i="40" s="1"/>
  <c r="AG68" i="40" s="1"/>
  <c r="AH68" i="40" s="1"/>
  <c r="AI68" i="40" s="1"/>
  <c r="AA68" i="40"/>
  <c r="Z68" i="40" s="1"/>
  <c r="Y68" i="40" s="1"/>
  <c r="X68" i="40" s="1"/>
  <c r="W68" i="40" s="1"/>
  <c r="V68" i="40" s="1"/>
  <c r="U68" i="40" s="1"/>
  <c r="AC17" i="40"/>
  <c r="AD17" i="40" s="1"/>
  <c r="AE17" i="40" s="1"/>
  <c r="AF17" i="40" s="1"/>
  <c r="AG17" i="40" s="1"/>
  <c r="AH17" i="40" s="1"/>
  <c r="AI17" i="40" s="1"/>
  <c r="AA17" i="40"/>
  <c r="Z17" i="40" s="1"/>
  <c r="Y17" i="40" s="1"/>
  <c r="X17" i="40" s="1"/>
  <c r="W17" i="40" s="1"/>
  <c r="V17" i="40" s="1"/>
  <c r="U17" i="40" s="1"/>
  <c r="AA27" i="40"/>
  <c r="Z27" i="40" s="1"/>
  <c r="Y27" i="40" s="1"/>
  <c r="X27" i="40" s="1"/>
  <c r="W27" i="40" s="1"/>
  <c r="V27" i="40" s="1"/>
  <c r="U27" i="40" s="1"/>
  <c r="AC27" i="40"/>
  <c r="AD27" i="40" s="1"/>
  <c r="AE27" i="40" s="1"/>
  <c r="AF27" i="40" s="1"/>
  <c r="AG27" i="40" s="1"/>
  <c r="AH27" i="40" s="1"/>
  <c r="AI27" i="40" s="1"/>
  <c r="AA36" i="40"/>
  <c r="Z36" i="40" s="1"/>
  <c r="Y36" i="40" s="1"/>
  <c r="X36" i="40" s="1"/>
  <c r="W36" i="40" s="1"/>
  <c r="V36" i="40" s="1"/>
  <c r="U36" i="40" s="1"/>
  <c r="AC36" i="40"/>
  <c r="AD36" i="40" s="1"/>
  <c r="AE36" i="40" s="1"/>
  <c r="AF36" i="40" s="1"/>
  <c r="AG36" i="40" s="1"/>
  <c r="AH36" i="40" s="1"/>
  <c r="AI36" i="40" s="1"/>
  <c r="AC34" i="40"/>
  <c r="AD34" i="40" s="1"/>
  <c r="AE34" i="40" s="1"/>
  <c r="AF34" i="40" s="1"/>
  <c r="AG34" i="40" s="1"/>
  <c r="AH34" i="40" s="1"/>
  <c r="AI34" i="40" s="1"/>
  <c r="AA34" i="40"/>
  <c r="Z34" i="40" s="1"/>
  <c r="Y34" i="40" s="1"/>
  <c r="X34" i="40" s="1"/>
  <c r="W34" i="40" s="1"/>
  <c r="V34" i="40" s="1"/>
  <c r="U34" i="40" s="1"/>
  <c r="AA32" i="40"/>
  <c r="Z32" i="40" s="1"/>
  <c r="Y32" i="40" s="1"/>
  <c r="X32" i="40" s="1"/>
  <c r="W32" i="40" s="1"/>
  <c r="V32" i="40" s="1"/>
  <c r="U32" i="40" s="1"/>
  <c r="AC32" i="40"/>
  <c r="AD32" i="40" s="1"/>
  <c r="AE32" i="40" s="1"/>
  <c r="AF32" i="40" s="1"/>
  <c r="AG32" i="40" s="1"/>
  <c r="AH32" i="40" s="1"/>
  <c r="AI32" i="40" s="1"/>
  <c r="AA7" i="40"/>
  <c r="Z7" i="40" s="1"/>
  <c r="Y7" i="40" s="1"/>
  <c r="X7" i="40" s="1"/>
  <c r="W7" i="40" s="1"/>
  <c r="V7" i="40" s="1"/>
  <c r="U7" i="40" s="1"/>
  <c r="AC7" i="40"/>
  <c r="AD7" i="40" s="1"/>
  <c r="AE7" i="40" s="1"/>
  <c r="AF7" i="40" s="1"/>
  <c r="AG7" i="40" s="1"/>
  <c r="AH7" i="40" s="1"/>
  <c r="AI7" i="40" s="1"/>
  <c r="AA23" i="40"/>
  <c r="Z23" i="40" s="1"/>
  <c r="Y23" i="40" s="1"/>
  <c r="X23" i="40" s="1"/>
  <c r="W23" i="40" s="1"/>
  <c r="V23" i="40" s="1"/>
  <c r="U23" i="40" s="1"/>
  <c r="AC23" i="40"/>
  <c r="AD23" i="40" s="1"/>
  <c r="AE23" i="40" s="1"/>
  <c r="AF23" i="40" s="1"/>
  <c r="AG23" i="40" s="1"/>
  <c r="AH23" i="40" s="1"/>
  <c r="AI23" i="40" s="1"/>
  <c r="AC10" i="40"/>
  <c r="AD10" i="40" s="1"/>
  <c r="AE10" i="40" s="1"/>
  <c r="AF10" i="40" s="1"/>
  <c r="AG10" i="40" s="1"/>
  <c r="AH10" i="40" s="1"/>
  <c r="AI10" i="40" s="1"/>
  <c r="AA10" i="40"/>
  <c r="Z10" i="40" s="1"/>
  <c r="Y10" i="40" s="1"/>
  <c r="X10" i="40" s="1"/>
  <c r="W10" i="40" s="1"/>
  <c r="V10" i="40" s="1"/>
  <c r="U10" i="40" s="1"/>
  <c r="AC64" i="40"/>
  <c r="AD64" i="40" s="1"/>
  <c r="AE64" i="40" s="1"/>
  <c r="AF64" i="40" s="1"/>
  <c r="AG64" i="40" s="1"/>
  <c r="AH64" i="40" s="1"/>
  <c r="AI64" i="40" s="1"/>
  <c r="AA64" i="40"/>
  <c r="Z64" i="40" s="1"/>
  <c r="Y64" i="40" s="1"/>
  <c r="X64" i="40" s="1"/>
  <c r="W64" i="40" s="1"/>
  <c r="V64" i="40" s="1"/>
  <c r="U64" i="40" s="1"/>
  <c r="AC30" i="40"/>
  <c r="AD30" i="40" s="1"/>
  <c r="AE30" i="40" s="1"/>
  <c r="AF30" i="40" s="1"/>
  <c r="AG30" i="40" s="1"/>
  <c r="AH30" i="40" s="1"/>
  <c r="AI30" i="40" s="1"/>
  <c r="AA30" i="40"/>
  <c r="Z30" i="40" s="1"/>
  <c r="Y30" i="40" s="1"/>
  <c r="X30" i="40" s="1"/>
  <c r="W30" i="40" s="1"/>
  <c r="V30" i="40" s="1"/>
  <c r="U30" i="40" s="1"/>
  <c r="AA26" i="40"/>
  <c r="Z26" i="40" s="1"/>
  <c r="Y26" i="40" s="1"/>
  <c r="X26" i="40" s="1"/>
  <c r="W26" i="40" s="1"/>
  <c r="V26" i="40" s="1"/>
  <c r="U26" i="40" s="1"/>
  <c r="AC26" i="40"/>
  <c r="AD26" i="40" s="1"/>
  <c r="AE26" i="40" s="1"/>
  <c r="AF26" i="40" s="1"/>
  <c r="AG26" i="40" s="1"/>
  <c r="AH26" i="40" s="1"/>
  <c r="AI26" i="40" s="1"/>
  <c r="AA72" i="40"/>
  <c r="Z72" i="40" s="1"/>
  <c r="Y72" i="40" s="1"/>
  <c r="X72" i="40" s="1"/>
  <c r="W72" i="40" s="1"/>
  <c r="V72" i="40" s="1"/>
  <c r="U72" i="40" s="1"/>
  <c r="AC72" i="40"/>
  <c r="AD72" i="40" s="1"/>
  <c r="AE72" i="40" s="1"/>
  <c r="AF72" i="40" s="1"/>
  <c r="AG72" i="40" s="1"/>
  <c r="AH72" i="40" s="1"/>
  <c r="AI72" i="40" s="1"/>
  <c r="AC66" i="40"/>
  <c r="AD66" i="40" s="1"/>
  <c r="AE66" i="40" s="1"/>
  <c r="AF66" i="40" s="1"/>
  <c r="AG66" i="40" s="1"/>
  <c r="AH66" i="40" s="1"/>
  <c r="AI66" i="40" s="1"/>
  <c r="AA66" i="40"/>
  <c r="Z66" i="40" s="1"/>
  <c r="Y66" i="40" s="1"/>
  <c r="X66" i="40" s="1"/>
  <c r="W66" i="40" s="1"/>
  <c r="V66" i="40" s="1"/>
  <c r="U66" i="40" s="1"/>
  <c r="AC48" i="40"/>
  <c r="AD48" i="40" s="1"/>
  <c r="AE48" i="40" s="1"/>
  <c r="AF48" i="40" s="1"/>
  <c r="AG48" i="40" s="1"/>
  <c r="AH48" i="40" s="1"/>
  <c r="AI48" i="40" s="1"/>
  <c r="AA48" i="40"/>
  <c r="Z48" i="40" s="1"/>
  <c r="Y48" i="40" s="1"/>
  <c r="X48" i="40" s="1"/>
  <c r="W48" i="40" s="1"/>
  <c r="V48" i="40" s="1"/>
  <c r="U48" i="40" s="1"/>
  <c r="AC14" i="40"/>
  <c r="AD14" i="40" s="1"/>
  <c r="AE14" i="40" s="1"/>
  <c r="AF14" i="40" s="1"/>
  <c r="AG14" i="40" s="1"/>
  <c r="AH14" i="40" s="1"/>
  <c r="AI14" i="40" s="1"/>
  <c r="AA14" i="40"/>
  <c r="Z14" i="40" s="1"/>
  <c r="Y14" i="40" s="1"/>
  <c r="X14" i="40" s="1"/>
  <c r="W14" i="40" s="1"/>
  <c r="V14" i="40" s="1"/>
  <c r="U14" i="40" s="1"/>
  <c r="AA62" i="40"/>
  <c r="Z62" i="40" s="1"/>
  <c r="Y62" i="40" s="1"/>
  <c r="X62" i="40" s="1"/>
  <c r="W62" i="40" s="1"/>
  <c r="V62" i="40" s="1"/>
  <c r="U62" i="40" s="1"/>
  <c r="AC62" i="40"/>
  <c r="AD62" i="40" s="1"/>
  <c r="AE62" i="40" s="1"/>
  <c r="AF62" i="40" s="1"/>
  <c r="AG62" i="40" s="1"/>
  <c r="AH62" i="40" s="1"/>
  <c r="AI62" i="40" s="1"/>
  <c r="AC16" i="40"/>
  <c r="AD16" i="40" s="1"/>
  <c r="AE16" i="40" s="1"/>
  <c r="AF16" i="40" s="1"/>
  <c r="AG16" i="40" s="1"/>
  <c r="AH16" i="40" s="1"/>
  <c r="AI16" i="40" s="1"/>
  <c r="AA16" i="40"/>
  <c r="Z16" i="40" s="1"/>
  <c r="Y16" i="40" s="1"/>
  <c r="X16" i="40" s="1"/>
  <c r="W16" i="40" s="1"/>
  <c r="V16" i="40" s="1"/>
  <c r="U16" i="40" s="1"/>
  <c r="AC18" i="40"/>
  <c r="AD18" i="40" s="1"/>
  <c r="AE18" i="40" s="1"/>
  <c r="AF18" i="40" s="1"/>
  <c r="AG18" i="40" s="1"/>
  <c r="AH18" i="40" s="1"/>
  <c r="AI18" i="40" s="1"/>
  <c r="AA18" i="40"/>
  <c r="Z18" i="40" s="1"/>
  <c r="Y18" i="40" s="1"/>
  <c r="X18" i="40" s="1"/>
  <c r="W18" i="40" s="1"/>
  <c r="V18" i="40" s="1"/>
  <c r="U18" i="40" s="1"/>
  <c r="AA19" i="40"/>
  <c r="Z19" i="40" s="1"/>
  <c r="Y19" i="40" s="1"/>
  <c r="X19" i="40" s="1"/>
  <c r="W19" i="40" s="1"/>
  <c r="V19" i="40" s="1"/>
  <c r="U19" i="40" s="1"/>
  <c r="AC19" i="40"/>
  <c r="AD19" i="40" s="1"/>
  <c r="AE19" i="40" s="1"/>
  <c r="AF19" i="40" s="1"/>
  <c r="AG19" i="40" s="1"/>
  <c r="AH19" i="40" s="1"/>
  <c r="AI19" i="40" s="1"/>
  <c r="AC70" i="40"/>
  <c r="AD70" i="40" s="1"/>
  <c r="AE70" i="40" s="1"/>
  <c r="AF70" i="40" s="1"/>
  <c r="AG70" i="40" s="1"/>
  <c r="AH70" i="40" s="1"/>
  <c r="AI70" i="40" s="1"/>
  <c r="AA70" i="40"/>
  <c r="Z70" i="40" s="1"/>
  <c r="Y70" i="40" s="1"/>
  <c r="X70" i="40" s="1"/>
  <c r="W70" i="40" s="1"/>
  <c r="V70" i="40" s="1"/>
  <c r="U70" i="40" s="1"/>
  <c r="AA56" i="40"/>
  <c r="Z56" i="40" s="1"/>
  <c r="Y56" i="40" s="1"/>
  <c r="X56" i="40" s="1"/>
  <c r="W56" i="40" s="1"/>
  <c r="V56" i="40" s="1"/>
  <c r="U56" i="40" s="1"/>
  <c r="AC56" i="40"/>
  <c r="AD56" i="40" s="1"/>
  <c r="AE56" i="40" s="1"/>
  <c r="AF56" i="40" s="1"/>
  <c r="AG56" i="40" s="1"/>
  <c r="AH56" i="40" s="1"/>
  <c r="AI56" i="40" s="1"/>
  <c r="AA12" i="40"/>
  <c r="Z12" i="40" s="1"/>
  <c r="Y12" i="40" s="1"/>
  <c r="X12" i="40" s="1"/>
  <c r="W12" i="40" s="1"/>
  <c r="V12" i="40" s="1"/>
  <c r="U12" i="40" s="1"/>
  <c r="AC12" i="40"/>
  <c r="AD12" i="40" s="1"/>
  <c r="AE12" i="40" s="1"/>
  <c r="AF12" i="40" s="1"/>
  <c r="AG12" i="40" s="1"/>
  <c r="AH12" i="40" s="1"/>
  <c r="AI12" i="40" s="1"/>
  <c r="R13" i="9" l="1"/>
  <c r="T13" i="9" s="1"/>
  <c r="F15" i="9"/>
  <c r="E16" i="9"/>
  <c r="G15" i="9"/>
  <c r="H26" i="67"/>
  <c r="I26" i="67" s="1"/>
  <c r="J26" i="67" s="1"/>
  <c r="K26" i="67" s="1"/>
  <c r="L26" i="67" s="1"/>
  <c r="M26" i="67" s="1"/>
  <c r="AC39" i="40"/>
  <c r="AD39" i="40" s="1"/>
  <c r="AE39" i="40" s="1"/>
  <c r="AF39" i="40" s="1"/>
  <c r="AG39" i="40" s="1"/>
  <c r="AH39" i="40" s="1"/>
  <c r="AI39" i="40" s="1"/>
  <c r="H124" i="67"/>
  <c r="G124" i="67" s="1"/>
  <c r="F124" i="67" s="1"/>
  <c r="E124" i="67" s="1"/>
  <c r="D124" i="67" s="1"/>
  <c r="C124" i="67" s="1"/>
  <c r="P27" i="67"/>
  <c r="P28" i="67" s="1"/>
  <c r="H131" i="67"/>
  <c r="G131" i="67" s="1"/>
  <c r="F131" i="67" s="1"/>
  <c r="E131" i="67" s="1"/>
  <c r="D131" i="67" s="1"/>
  <c r="C131" i="67" s="1"/>
  <c r="AA71" i="40"/>
  <c r="Z71" i="40" s="1"/>
  <c r="Y71" i="40" s="1"/>
  <c r="X71" i="40" s="1"/>
  <c r="W71" i="40" s="1"/>
  <c r="V71" i="40" s="1"/>
  <c r="U71" i="40" s="1"/>
  <c r="AA54" i="40"/>
  <c r="Z54" i="40" s="1"/>
  <c r="Y54" i="40" s="1"/>
  <c r="X54" i="40" s="1"/>
  <c r="W54" i="40" s="1"/>
  <c r="V54" i="40" s="1"/>
  <c r="U54" i="40" s="1"/>
  <c r="AA20" i="40"/>
  <c r="Z20" i="40" s="1"/>
  <c r="Y20" i="40" s="1"/>
  <c r="X20" i="40" s="1"/>
  <c r="W20" i="40" s="1"/>
  <c r="V20" i="40" s="1"/>
  <c r="U20" i="40" s="1"/>
  <c r="AC42" i="40"/>
  <c r="AD42" i="40" s="1"/>
  <c r="AE42" i="40" s="1"/>
  <c r="AF42" i="40" s="1"/>
  <c r="AG42" i="40" s="1"/>
  <c r="AH42" i="40" s="1"/>
  <c r="AI42" i="40" s="1"/>
  <c r="AA15" i="40"/>
  <c r="Z15" i="40" s="1"/>
  <c r="Y15" i="40" s="1"/>
  <c r="X15" i="40" s="1"/>
  <c r="W15" i="40" s="1"/>
  <c r="V15" i="40" s="1"/>
  <c r="U15" i="40" s="1"/>
  <c r="AC61" i="40"/>
  <c r="AD61" i="40" s="1"/>
  <c r="AE61" i="40" s="1"/>
  <c r="AF61" i="40" s="1"/>
  <c r="AG61" i="40" s="1"/>
  <c r="AH61" i="40" s="1"/>
  <c r="AI61" i="40" s="1"/>
  <c r="P83" i="67"/>
  <c r="P84" i="67" s="1"/>
  <c r="P85" i="67" s="1"/>
  <c r="P86" i="67" s="1"/>
  <c r="P87" i="67" s="1"/>
  <c r="P88" i="67" s="1"/>
  <c r="AA76" i="40"/>
  <c r="Z76" i="40" s="1"/>
  <c r="Y76" i="40" s="1"/>
  <c r="X76" i="40" s="1"/>
  <c r="W76" i="40" s="1"/>
  <c r="V76" i="40" s="1"/>
  <c r="U76" i="40" s="1"/>
  <c r="AA49" i="40"/>
  <c r="Z49" i="40" s="1"/>
  <c r="Y49" i="40" s="1"/>
  <c r="X49" i="40" s="1"/>
  <c r="W49" i="40" s="1"/>
  <c r="V49" i="40" s="1"/>
  <c r="U49" i="40" s="1"/>
  <c r="AA69" i="40"/>
  <c r="Z69" i="40" s="1"/>
  <c r="Y69" i="40" s="1"/>
  <c r="X69" i="40" s="1"/>
  <c r="W69" i="40" s="1"/>
  <c r="V69" i="40" s="1"/>
  <c r="U69" i="40" s="1"/>
  <c r="G6" i="67"/>
  <c r="F6" i="67" s="1"/>
  <c r="E6" i="67" s="1"/>
  <c r="D6" i="67" s="1"/>
  <c r="C6" i="67" s="1"/>
  <c r="AA13" i="40"/>
  <c r="Z13" i="40" s="1"/>
  <c r="Y13" i="40" s="1"/>
  <c r="X13" i="40" s="1"/>
  <c r="W13" i="40" s="1"/>
  <c r="V13" i="40" s="1"/>
  <c r="U13" i="40" s="1"/>
  <c r="AA46" i="40"/>
  <c r="Z46" i="40" s="1"/>
  <c r="Y46" i="40" s="1"/>
  <c r="X46" i="40" s="1"/>
  <c r="W46" i="40" s="1"/>
  <c r="V46" i="40" s="1"/>
  <c r="U46" i="40" s="1"/>
  <c r="Q27" i="67"/>
  <c r="Q28" i="67" s="1"/>
  <c r="Q29" i="67" s="1"/>
  <c r="Q30" i="67" s="1"/>
  <c r="Q31" i="67" s="1"/>
  <c r="Q32" i="67" s="1"/>
  <c r="AA6" i="40"/>
  <c r="Z6" i="40" s="1"/>
  <c r="Y6" i="40" s="1"/>
  <c r="X6" i="40" s="1"/>
  <c r="W6" i="40" s="1"/>
  <c r="V6" i="40" s="1"/>
  <c r="AC58" i="40"/>
  <c r="AD58" i="40" s="1"/>
  <c r="AE58" i="40" s="1"/>
  <c r="AF58" i="40" s="1"/>
  <c r="AG58" i="40" s="1"/>
  <c r="AH58" i="40" s="1"/>
  <c r="AI58" i="40" s="1"/>
  <c r="P7" i="67"/>
  <c r="P8" i="67" s="1"/>
  <c r="H8" i="67" s="1"/>
  <c r="I89" i="67"/>
  <c r="J89" i="67" s="1"/>
  <c r="K89" i="67" s="1"/>
  <c r="L89" i="67" s="1"/>
  <c r="M89" i="67" s="1"/>
  <c r="AC60" i="40"/>
  <c r="AD60" i="40" s="1"/>
  <c r="AE60" i="40" s="1"/>
  <c r="AF60" i="40" s="1"/>
  <c r="AG60" i="40" s="1"/>
  <c r="AH60" i="40" s="1"/>
  <c r="AI60" i="40" s="1"/>
  <c r="AC38" i="40"/>
  <c r="AD38" i="40" s="1"/>
  <c r="AE38" i="40" s="1"/>
  <c r="AF38" i="40" s="1"/>
  <c r="AG38" i="40" s="1"/>
  <c r="AH38" i="40" s="1"/>
  <c r="AI38" i="40" s="1"/>
  <c r="P41" i="67"/>
  <c r="P42" i="67" s="1"/>
  <c r="P43" i="67" s="1"/>
  <c r="P44" i="67" s="1"/>
  <c r="P45" i="67" s="1"/>
  <c r="G96" i="67"/>
  <c r="F96" i="67" s="1"/>
  <c r="E96" i="67" s="1"/>
  <c r="D96" i="67" s="1"/>
  <c r="C96" i="67" s="1"/>
  <c r="AC28" i="40"/>
  <c r="AD28" i="40" s="1"/>
  <c r="AE28" i="40" s="1"/>
  <c r="AF28" i="40" s="1"/>
  <c r="AG28" i="40" s="1"/>
  <c r="AH28" i="40" s="1"/>
  <c r="AI28" i="40" s="1"/>
  <c r="I75" i="67"/>
  <c r="J75" i="67" s="1"/>
  <c r="K75" i="67" s="1"/>
  <c r="L75" i="67" s="1"/>
  <c r="M75" i="67" s="1"/>
  <c r="AA44" i="40"/>
  <c r="Z44" i="40" s="1"/>
  <c r="Y44" i="40" s="1"/>
  <c r="X44" i="40" s="1"/>
  <c r="W44" i="40" s="1"/>
  <c r="V44" i="40" s="1"/>
  <c r="U44" i="40" s="1"/>
  <c r="AA51" i="40"/>
  <c r="Z51" i="40" s="1"/>
  <c r="Y51" i="40" s="1"/>
  <c r="X51" i="40" s="1"/>
  <c r="W51" i="40" s="1"/>
  <c r="V51" i="40" s="1"/>
  <c r="U51" i="40" s="1"/>
  <c r="AA50" i="40"/>
  <c r="Z50" i="40" s="1"/>
  <c r="Y50" i="40" s="1"/>
  <c r="X50" i="40" s="1"/>
  <c r="W50" i="40" s="1"/>
  <c r="V50" i="40" s="1"/>
  <c r="U50" i="40" s="1"/>
  <c r="AC57" i="40"/>
  <c r="AD57" i="40" s="1"/>
  <c r="AE57" i="40" s="1"/>
  <c r="AF57" i="40" s="1"/>
  <c r="AG57" i="40" s="1"/>
  <c r="AH57" i="40" s="1"/>
  <c r="AI57" i="40" s="1"/>
  <c r="H40" i="67"/>
  <c r="I40" i="67" s="1"/>
  <c r="J40" i="67" s="1"/>
  <c r="K40" i="67" s="1"/>
  <c r="L40" i="67" s="1"/>
  <c r="M40" i="67" s="1"/>
  <c r="G61" i="67"/>
  <c r="F61" i="67" s="1"/>
  <c r="E61" i="67" s="1"/>
  <c r="D61" i="67" s="1"/>
  <c r="C61" i="67" s="1"/>
  <c r="H110" i="67"/>
  <c r="G110" i="67" s="1"/>
  <c r="F110" i="67" s="1"/>
  <c r="E110" i="67" s="1"/>
  <c r="D110" i="67" s="1"/>
  <c r="C110" i="67" s="1"/>
  <c r="AC78" i="40"/>
  <c r="AD78" i="40" s="1"/>
  <c r="AE78" i="40" s="1"/>
  <c r="AF78" i="40" s="1"/>
  <c r="AG78" i="40" s="1"/>
  <c r="AH78" i="40" s="1"/>
  <c r="AI78" i="40" s="1"/>
  <c r="AC40" i="40"/>
  <c r="AD40" i="40" s="1"/>
  <c r="AE40" i="40" s="1"/>
  <c r="AF40" i="40" s="1"/>
  <c r="AG40" i="40" s="1"/>
  <c r="AH40" i="40" s="1"/>
  <c r="AI40" i="40" s="1"/>
  <c r="I82" i="67"/>
  <c r="J82" i="67" s="1"/>
  <c r="K82" i="67" s="1"/>
  <c r="L82" i="67" s="1"/>
  <c r="M82" i="67" s="1"/>
  <c r="AC74" i="40"/>
  <c r="AD74" i="40" s="1"/>
  <c r="AE74" i="40" s="1"/>
  <c r="AF74" i="40" s="1"/>
  <c r="AG74" i="40" s="1"/>
  <c r="AH74" i="40" s="1"/>
  <c r="AI74" i="40" s="1"/>
  <c r="AA52" i="40"/>
  <c r="Z52" i="40" s="1"/>
  <c r="Y52" i="40" s="1"/>
  <c r="X52" i="40" s="1"/>
  <c r="W52" i="40" s="1"/>
  <c r="V52" i="40" s="1"/>
  <c r="U52" i="40" s="1"/>
  <c r="AC8" i="40"/>
  <c r="AD8" i="40" s="1"/>
  <c r="AE8" i="40" s="1"/>
  <c r="AF8" i="40" s="1"/>
  <c r="AG8" i="40" s="1"/>
  <c r="AH8" i="40" s="1"/>
  <c r="AI8" i="40" s="1"/>
  <c r="Q97" i="67"/>
  <c r="Q98" i="67" s="1"/>
  <c r="Q99" i="67" s="1"/>
  <c r="Q100" i="67" s="1"/>
  <c r="Q101" i="67" s="1"/>
  <c r="Q102" i="67" s="1"/>
  <c r="Q104" i="67"/>
  <c r="Q105" i="67" s="1"/>
  <c r="Q106" i="67" s="1"/>
  <c r="Q107" i="67" s="1"/>
  <c r="Q108" i="67" s="1"/>
  <c r="Q109" i="67" s="1"/>
  <c r="Q125" i="67"/>
  <c r="Q126" i="67" s="1"/>
  <c r="Q127" i="67" s="1"/>
  <c r="Q128" i="67" s="1"/>
  <c r="Q129" i="67" s="1"/>
  <c r="Q130" i="67" s="1"/>
  <c r="Q90" i="67"/>
  <c r="Q91" i="67" s="1"/>
  <c r="Q92" i="67" s="1"/>
  <c r="Q93" i="67" s="1"/>
  <c r="Q94" i="67" s="1"/>
  <c r="Q95" i="67" s="1"/>
  <c r="AA24" i="40"/>
  <c r="Z24" i="40" s="1"/>
  <c r="Y24" i="40" s="1"/>
  <c r="X24" i="40" s="1"/>
  <c r="W24" i="40" s="1"/>
  <c r="V24" i="40" s="1"/>
  <c r="U24" i="40" s="1"/>
  <c r="AA47" i="40"/>
  <c r="Z47" i="40" s="1"/>
  <c r="Y47" i="40" s="1"/>
  <c r="X47" i="40" s="1"/>
  <c r="W47" i="40" s="1"/>
  <c r="V47" i="40" s="1"/>
  <c r="U47" i="40" s="1"/>
  <c r="Q76" i="67"/>
  <c r="Q77" i="67" s="1"/>
  <c r="Q78" i="67" s="1"/>
  <c r="Q79" i="67" s="1"/>
  <c r="Q80" i="67" s="1"/>
  <c r="Q81" i="67" s="1"/>
  <c r="P34" i="67"/>
  <c r="P35" i="67" s="1"/>
  <c r="P36" i="67" s="1"/>
  <c r="P37" i="67" s="1"/>
  <c r="AC22" i="40"/>
  <c r="AD22" i="40" s="1"/>
  <c r="AE22" i="40" s="1"/>
  <c r="AF22" i="40" s="1"/>
  <c r="AG22" i="40" s="1"/>
  <c r="AH22" i="40" s="1"/>
  <c r="AI22" i="40" s="1"/>
  <c r="AC53" i="40"/>
  <c r="AD53" i="40" s="1"/>
  <c r="AE53" i="40" s="1"/>
  <c r="AF53" i="40" s="1"/>
  <c r="AG53" i="40" s="1"/>
  <c r="AH53" i="40" s="1"/>
  <c r="AI53" i="40" s="1"/>
  <c r="P125" i="67"/>
  <c r="P126" i="67" s="1"/>
  <c r="P127" i="67" s="1"/>
  <c r="I19" i="67"/>
  <c r="J19" i="67" s="1"/>
  <c r="K19" i="67" s="1"/>
  <c r="L19" i="67" s="1"/>
  <c r="M19" i="67" s="1"/>
  <c r="Q55" i="67"/>
  <c r="Q56" i="67" s="1"/>
  <c r="Q57" i="67" s="1"/>
  <c r="Q58" i="67" s="1"/>
  <c r="Q59" i="67" s="1"/>
  <c r="Q60" i="67" s="1"/>
  <c r="Q62" i="67"/>
  <c r="Q63" i="67" s="1"/>
  <c r="Q64" i="67" s="1"/>
  <c r="Q65" i="67" s="1"/>
  <c r="Q66" i="67" s="1"/>
  <c r="Q67" i="67" s="1"/>
  <c r="H33" i="67"/>
  <c r="I33" i="67" s="1"/>
  <c r="J33" i="67" s="1"/>
  <c r="K33" i="67" s="1"/>
  <c r="L33" i="67" s="1"/>
  <c r="M33" i="67" s="1"/>
  <c r="P111" i="67"/>
  <c r="P112" i="67" s="1"/>
  <c r="P113" i="67" s="1"/>
  <c r="P114" i="67" s="1"/>
  <c r="P115" i="67" s="1"/>
  <c r="P116" i="67" s="1"/>
  <c r="Q34" i="67"/>
  <c r="Q35" i="67" s="1"/>
  <c r="Q36" i="67" s="1"/>
  <c r="Q37" i="67" s="1"/>
  <c r="Q38" i="67" s="1"/>
  <c r="Q39" i="67" s="1"/>
  <c r="P69" i="67"/>
  <c r="P70" i="67" s="1"/>
  <c r="P71" i="67" s="1"/>
  <c r="Q111" i="67"/>
  <c r="Q112" i="67" s="1"/>
  <c r="Q113" i="67" s="1"/>
  <c r="G12" i="67"/>
  <c r="F12" i="67" s="1"/>
  <c r="E12" i="67" s="1"/>
  <c r="D12" i="67" s="1"/>
  <c r="C12" i="67" s="1"/>
  <c r="AA45" i="40"/>
  <c r="Z45" i="40" s="1"/>
  <c r="Y45" i="40" s="1"/>
  <c r="X45" i="40" s="1"/>
  <c r="W45" i="40" s="1"/>
  <c r="V45" i="40" s="1"/>
  <c r="U45" i="40" s="1"/>
  <c r="Q41" i="67"/>
  <c r="AC37" i="40"/>
  <c r="AD37" i="40" s="1"/>
  <c r="AE37" i="40" s="1"/>
  <c r="AF37" i="40" s="1"/>
  <c r="AG37" i="40" s="1"/>
  <c r="AH37" i="40" s="1"/>
  <c r="AI37" i="40" s="1"/>
  <c r="I117" i="67"/>
  <c r="J117" i="67" s="1"/>
  <c r="K117" i="67" s="1"/>
  <c r="L117" i="67" s="1"/>
  <c r="M117" i="67" s="1"/>
  <c r="Q13" i="67"/>
  <c r="Q14" i="67" s="1"/>
  <c r="Q15" i="67" s="1"/>
  <c r="Q16" i="67" s="1"/>
  <c r="Q17" i="67" s="1"/>
  <c r="Q18" i="67" s="1"/>
  <c r="Q20" i="67"/>
  <c r="Q21" i="67" s="1"/>
  <c r="Q22" i="67" s="1"/>
  <c r="Q23" i="67" s="1"/>
  <c r="Q24" i="67" s="1"/>
  <c r="Q25" i="67" s="1"/>
  <c r="Q118" i="67"/>
  <c r="H118" i="67" s="1"/>
  <c r="P48" i="67"/>
  <c r="P49" i="67" s="1"/>
  <c r="H49" i="67" s="1"/>
  <c r="C5" i="66"/>
  <c r="I54" i="67"/>
  <c r="J54" i="67" s="1"/>
  <c r="K54" i="67" s="1"/>
  <c r="L54" i="67" s="1"/>
  <c r="M54" i="67" s="1"/>
  <c r="AC9" i="40"/>
  <c r="AD9" i="40" s="1"/>
  <c r="AE9" i="40" s="1"/>
  <c r="AF9" i="40" s="1"/>
  <c r="AG9" i="40" s="1"/>
  <c r="AH9" i="40" s="1"/>
  <c r="AI9" i="40" s="1"/>
  <c r="AA9" i="40"/>
  <c r="Z9" i="40" s="1"/>
  <c r="Y9" i="40" s="1"/>
  <c r="X9" i="40" s="1"/>
  <c r="W9" i="40" s="1"/>
  <c r="V9" i="40" s="1"/>
  <c r="U9" i="40" s="1"/>
  <c r="B32" i="28"/>
  <c r="P56" i="67"/>
  <c r="P57" i="67" s="1"/>
  <c r="G47" i="67"/>
  <c r="F47" i="67" s="1"/>
  <c r="E47" i="67" s="1"/>
  <c r="D47" i="67" s="1"/>
  <c r="C47" i="67" s="1"/>
  <c r="I103" i="67"/>
  <c r="J103" i="67" s="1"/>
  <c r="K103" i="67" s="1"/>
  <c r="L103" i="67" s="1"/>
  <c r="M103" i="67" s="1"/>
  <c r="I68" i="67"/>
  <c r="J68" i="67" s="1"/>
  <c r="K68" i="67" s="1"/>
  <c r="L68" i="67" s="1"/>
  <c r="M68" i="67" s="1"/>
  <c r="P79" i="67"/>
  <c r="Q86" i="67"/>
  <c r="P23" i="67"/>
  <c r="P122" i="67"/>
  <c r="P65" i="67"/>
  <c r="P16" i="67"/>
  <c r="P93" i="67"/>
  <c r="P100" i="67"/>
  <c r="P106" i="67"/>
  <c r="F5" i="66" l="1"/>
  <c r="R15" i="9"/>
  <c r="T15" i="9" s="1"/>
  <c r="G26" i="67"/>
  <c r="F26" i="67" s="1"/>
  <c r="E26" i="67" s="1"/>
  <c r="D26" i="67" s="1"/>
  <c r="C26" i="67" s="1"/>
  <c r="F16" i="9"/>
  <c r="G16" i="9"/>
  <c r="H97" i="67"/>
  <c r="G97" i="67" s="1"/>
  <c r="F97" i="67" s="1"/>
  <c r="E97" i="67" s="1"/>
  <c r="D97" i="67" s="1"/>
  <c r="C97" i="67" s="1"/>
  <c r="I131" i="67"/>
  <c r="J131" i="67" s="1"/>
  <c r="K131" i="67" s="1"/>
  <c r="L131" i="67" s="1"/>
  <c r="M131" i="67" s="1"/>
  <c r="H84" i="67"/>
  <c r="G84" i="67" s="1"/>
  <c r="F84" i="67" s="1"/>
  <c r="E84" i="67" s="1"/>
  <c r="D84" i="67" s="1"/>
  <c r="C84" i="67" s="1"/>
  <c r="H85" i="67"/>
  <c r="I85" i="67" s="1"/>
  <c r="J85" i="67" s="1"/>
  <c r="K85" i="67" s="1"/>
  <c r="L85" i="67" s="1"/>
  <c r="M85" i="67" s="1"/>
  <c r="H83" i="67"/>
  <c r="G83" i="67" s="1"/>
  <c r="F83" i="67" s="1"/>
  <c r="E83" i="67" s="1"/>
  <c r="D83" i="67" s="1"/>
  <c r="C83" i="67" s="1"/>
  <c r="I124" i="67"/>
  <c r="J124" i="67" s="1"/>
  <c r="K124" i="67" s="1"/>
  <c r="L124" i="67" s="1"/>
  <c r="M124" i="67" s="1"/>
  <c r="G40" i="67"/>
  <c r="F40" i="67" s="1"/>
  <c r="E40" i="67" s="1"/>
  <c r="D40" i="67" s="1"/>
  <c r="C40" i="67" s="1"/>
  <c r="H92" i="67"/>
  <c r="I92" i="67" s="1"/>
  <c r="J92" i="67" s="1"/>
  <c r="K92" i="67" s="1"/>
  <c r="L92" i="67" s="1"/>
  <c r="M92" i="67" s="1"/>
  <c r="H90" i="67"/>
  <c r="G90" i="67" s="1"/>
  <c r="F90" i="67" s="1"/>
  <c r="E90" i="67" s="1"/>
  <c r="D90" i="67" s="1"/>
  <c r="C90" i="67" s="1"/>
  <c r="H21" i="67"/>
  <c r="G21" i="67" s="1"/>
  <c r="F21" i="67" s="1"/>
  <c r="E21" i="67" s="1"/>
  <c r="D21" i="67" s="1"/>
  <c r="C21" i="67" s="1"/>
  <c r="H7" i="67"/>
  <c r="I7" i="67" s="1"/>
  <c r="J7" i="67" s="1"/>
  <c r="K7" i="67" s="1"/>
  <c r="L7" i="67" s="1"/>
  <c r="M7" i="67" s="1"/>
  <c r="H55" i="67"/>
  <c r="I55" i="67" s="1"/>
  <c r="J55" i="67" s="1"/>
  <c r="K55" i="67" s="1"/>
  <c r="L55" i="67" s="1"/>
  <c r="M55" i="67" s="1"/>
  <c r="H91" i="67"/>
  <c r="I91" i="67" s="1"/>
  <c r="J91" i="67" s="1"/>
  <c r="K91" i="67" s="1"/>
  <c r="L91" i="67" s="1"/>
  <c r="M91" i="67" s="1"/>
  <c r="H28" i="67"/>
  <c r="I28" i="67" s="1"/>
  <c r="J28" i="67" s="1"/>
  <c r="K28" i="67" s="1"/>
  <c r="L28" i="67" s="1"/>
  <c r="M28" i="67" s="1"/>
  <c r="H27" i="67"/>
  <c r="G27" i="67" s="1"/>
  <c r="F27" i="67" s="1"/>
  <c r="E27" i="67" s="1"/>
  <c r="D27" i="67" s="1"/>
  <c r="C27" i="67" s="1"/>
  <c r="H126" i="67"/>
  <c r="I126" i="67" s="1"/>
  <c r="J126" i="67" s="1"/>
  <c r="K126" i="67" s="1"/>
  <c r="L126" i="67" s="1"/>
  <c r="M126" i="67" s="1"/>
  <c r="H98" i="67"/>
  <c r="I98" i="67" s="1"/>
  <c r="J98" i="67" s="1"/>
  <c r="K98" i="67" s="1"/>
  <c r="L98" i="67" s="1"/>
  <c r="M98" i="67" s="1"/>
  <c r="H99" i="67"/>
  <c r="I99" i="67" s="1"/>
  <c r="J99" i="67" s="1"/>
  <c r="K99" i="67" s="1"/>
  <c r="L99" i="67" s="1"/>
  <c r="M99" i="67" s="1"/>
  <c r="H111" i="67"/>
  <c r="G111" i="67" s="1"/>
  <c r="F111" i="67" s="1"/>
  <c r="E111" i="67" s="1"/>
  <c r="D111" i="67" s="1"/>
  <c r="C111" i="67" s="1"/>
  <c r="H70" i="67"/>
  <c r="I70" i="67" s="1"/>
  <c r="J70" i="67" s="1"/>
  <c r="K70" i="67" s="1"/>
  <c r="L70" i="67" s="1"/>
  <c r="M70" i="67" s="1"/>
  <c r="H78" i="67"/>
  <c r="I78" i="67" s="1"/>
  <c r="J78" i="67" s="1"/>
  <c r="K78" i="67" s="1"/>
  <c r="L78" i="67" s="1"/>
  <c r="M78" i="67" s="1"/>
  <c r="H63" i="67"/>
  <c r="I63" i="67" s="1"/>
  <c r="J63" i="67" s="1"/>
  <c r="K63" i="67" s="1"/>
  <c r="L63" i="67" s="1"/>
  <c r="M63" i="67" s="1"/>
  <c r="H105" i="67"/>
  <c r="G105" i="67" s="1"/>
  <c r="F105" i="67" s="1"/>
  <c r="E105" i="67" s="1"/>
  <c r="D105" i="67" s="1"/>
  <c r="C105" i="67" s="1"/>
  <c r="H76" i="67"/>
  <c r="G76" i="67" s="1"/>
  <c r="F76" i="67" s="1"/>
  <c r="E76" i="67" s="1"/>
  <c r="D76" i="67" s="1"/>
  <c r="C76" i="67" s="1"/>
  <c r="H77" i="67"/>
  <c r="G77" i="67" s="1"/>
  <c r="F77" i="67" s="1"/>
  <c r="E77" i="67" s="1"/>
  <c r="D77" i="67" s="1"/>
  <c r="C77" i="67" s="1"/>
  <c r="H125" i="67"/>
  <c r="I125" i="67" s="1"/>
  <c r="J125" i="67" s="1"/>
  <c r="K125" i="67" s="1"/>
  <c r="L125" i="67" s="1"/>
  <c r="M125" i="67" s="1"/>
  <c r="H62" i="67"/>
  <c r="G62" i="67" s="1"/>
  <c r="F62" i="67" s="1"/>
  <c r="E62" i="67" s="1"/>
  <c r="D62" i="67" s="1"/>
  <c r="C62" i="67" s="1"/>
  <c r="H64" i="67"/>
  <c r="I64" i="67" s="1"/>
  <c r="J64" i="67" s="1"/>
  <c r="K64" i="67" s="1"/>
  <c r="L64" i="67" s="1"/>
  <c r="M64" i="67" s="1"/>
  <c r="I110" i="67"/>
  <c r="J110" i="67" s="1"/>
  <c r="K110" i="67" s="1"/>
  <c r="L110" i="67" s="1"/>
  <c r="M110" i="67" s="1"/>
  <c r="H36" i="67"/>
  <c r="I36" i="67" s="1"/>
  <c r="J36" i="67" s="1"/>
  <c r="K36" i="67" s="1"/>
  <c r="L36" i="67" s="1"/>
  <c r="M36" i="67" s="1"/>
  <c r="H34" i="67"/>
  <c r="I34" i="67" s="1"/>
  <c r="J34" i="67" s="1"/>
  <c r="K34" i="67" s="1"/>
  <c r="L34" i="67" s="1"/>
  <c r="M34" i="67" s="1"/>
  <c r="H104" i="67"/>
  <c r="I104" i="67" s="1"/>
  <c r="J104" i="67" s="1"/>
  <c r="K104" i="67" s="1"/>
  <c r="L104" i="67" s="1"/>
  <c r="M104" i="67" s="1"/>
  <c r="H35" i="67"/>
  <c r="G35" i="67" s="1"/>
  <c r="F35" i="67" s="1"/>
  <c r="E35" i="67" s="1"/>
  <c r="D35" i="67" s="1"/>
  <c r="C35" i="67" s="1"/>
  <c r="H112" i="67"/>
  <c r="I112" i="67" s="1"/>
  <c r="J112" i="67" s="1"/>
  <c r="K112" i="67" s="1"/>
  <c r="L112" i="67" s="1"/>
  <c r="M112" i="67" s="1"/>
  <c r="H15" i="67"/>
  <c r="I15" i="67" s="1"/>
  <c r="J15" i="67" s="1"/>
  <c r="K15" i="67" s="1"/>
  <c r="L15" i="67" s="1"/>
  <c r="M15" i="67" s="1"/>
  <c r="H69" i="67"/>
  <c r="I69" i="67" s="1"/>
  <c r="J69" i="67" s="1"/>
  <c r="K69" i="67" s="1"/>
  <c r="L69" i="67" s="1"/>
  <c r="M69" i="67" s="1"/>
  <c r="G33" i="67"/>
  <c r="F33" i="67" s="1"/>
  <c r="E33" i="67" s="1"/>
  <c r="D33" i="67" s="1"/>
  <c r="C33" i="67" s="1"/>
  <c r="P50" i="67"/>
  <c r="P51" i="67" s="1"/>
  <c r="H41" i="67"/>
  <c r="Q42" i="67"/>
  <c r="H22" i="67"/>
  <c r="G22" i="67" s="1"/>
  <c r="F22" i="67" s="1"/>
  <c r="E22" i="67" s="1"/>
  <c r="D22" i="67" s="1"/>
  <c r="C22" i="67" s="1"/>
  <c r="Q119" i="67"/>
  <c r="Q120" i="67" s="1"/>
  <c r="H14" i="67"/>
  <c r="I14" i="67" s="1"/>
  <c r="J14" i="67" s="1"/>
  <c r="K14" i="67" s="1"/>
  <c r="L14" i="67" s="1"/>
  <c r="M14" i="67" s="1"/>
  <c r="H20" i="67"/>
  <c r="I20" i="67" s="1"/>
  <c r="J20" i="67" s="1"/>
  <c r="K20" i="67" s="1"/>
  <c r="L20" i="67" s="1"/>
  <c r="M20" i="67" s="1"/>
  <c r="H13" i="67"/>
  <c r="G13" i="67" s="1"/>
  <c r="F13" i="67" s="1"/>
  <c r="E13" i="67" s="1"/>
  <c r="D13" i="67" s="1"/>
  <c r="C13" i="67" s="1"/>
  <c r="H48" i="67"/>
  <c r="I48" i="67" s="1"/>
  <c r="J48" i="67" s="1"/>
  <c r="K48" i="67" s="1"/>
  <c r="L48" i="67" s="1"/>
  <c r="M48" i="67" s="1"/>
  <c r="C6" i="66"/>
  <c r="F6" i="66"/>
  <c r="B33" i="28"/>
  <c r="P9" i="67"/>
  <c r="H9" i="67" s="1"/>
  <c r="H56" i="67"/>
  <c r="G56" i="67" s="1"/>
  <c r="F56" i="67" s="1"/>
  <c r="E56" i="67" s="1"/>
  <c r="D56" i="67" s="1"/>
  <c r="C56" i="67" s="1"/>
  <c r="P29" i="67"/>
  <c r="P30" i="67" s="1"/>
  <c r="I118" i="67"/>
  <c r="J118" i="67" s="1"/>
  <c r="K118" i="67" s="1"/>
  <c r="L118" i="67" s="1"/>
  <c r="M118" i="67" s="1"/>
  <c r="G118" i="67"/>
  <c r="F118" i="67" s="1"/>
  <c r="E118" i="67" s="1"/>
  <c r="D118" i="67" s="1"/>
  <c r="C118" i="67" s="1"/>
  <c r="H79" i="67"/>
  <c r="P80" i="67"/>
  <c r="Q87" i="67"/>
  <c r="H86" i="67"/>
  <c r="H106" i="67"/>
  <c r="P107" i="67"/>
  <c r="P46" i="67"/>
  <c r="H57" i="67"/>
  <c r="P58" i="67"/>
  <c r="I8" i="67"/>
  <c r="J8" i="67" s="1"/>
  <c r="K8" i="67" s="1"/>
  <c r="L8" i="67" s="1"/>
  <c r="M8" i="67" s="1"/>
  <c r="G8" i="67"/>
  <c r="F8" i="67" s="1"/>
  <c r="E8" i="67" s="1"/>
  <c r="D8" i="67" s="1"/>
  <c r="C8" i="67" s="1"/>
  <c r="P66" i="67"/>
  <c r="H65" i="67"/>
  <c r="P123" i="67"/>
  <c r="P94" i="67"/>
  <c r="H93" i="67"/>
  <c r="H37" i="67"/>
  <c r="P38" i="67"/>
  <c r="Q114" i="67"/>
  <c r="H113" i="67"/>
  <c r="H100" i="67"/>
  <c r="P101" i="67"/>
  <c r="H16" i="67"/>
  <c r="P17" i="67"/>
  <c r="I49" i="67"/>
  <c r="J49" i="67" s="1"/>
  <c r="K49" i="67" s="1"/>
  <c r="L49" i="67" s="1"/>
  <c r="M49" i="67" s="1"/>
  <c r="G49" i="67"/>
  <c r="F49" i="67" s="1"/>
  <c r="E49" i="67" s="1"/>
  <c r="D49" i="67" s="1"/>
  <c r="C49" i="67" s="1"/>
  <c r="H127" i="67"/>
  <c r="P128" i="67"/>
  <c r="P72" i="67"/>
  <c r="H71" i="67"/>
  <c r="P24" i="67"/>
  <c r="H23" i="67"/>
  <c r="G7" i="67" l="1"/>
  <c r="F7" i="67" s="1"/>
  <c r="E7" i="67" s="1"/>
  <c r="D7" i="67" s="1"/>
  <c r="C7" i="67" s="1"/>
  <c r="R16" i="9"/>
  <c r="T16" i="9" s="1"/>
  <c r="I97" i="67"/>
  <c r="J97" i="67" s="1"/>
  <c r="K97" i="67" s="1"/>
  <c r="L97" i="67" s="1"/>
  <c r="M97" i="67" s="1"/>
  <c r="G28" i="67"/>
  <c r="F28" i="67" s="1"/>
  <c r="E28" i="67" s="1"/>
  <c r="D28" i="67" s="1"/>
  <c r="C28" i="67" s="1"/>
  <c r="I84" i="67"/>
  <c r="J84" i="67" s="1"/>
  <c r="K84" i="67" s="1"/>
  <c r="L84" i="67" s="1"/>
  <c r="M84" i="67" s="1"/>
  <c r="I90" i="67"/>
  <c r="J90" i="67" s="1"/>
  <c r="K90" i="67" s="1"/>
  <c r="L90" i="67" s="1"/>
  <c r="M90" i="67" s="1"/>
  <c r="G85" i="67"/>
  <c r="F85" i="67" s="1"/>
  <c r="E85" i="67" s="1"/>
  <c r="D85" i="67" s="1"/>
  <c r="C85" i="67" s="1"/>
  <c r="G78" i="67"/>
  <c r="F78" i="67" s="1"/>
  <c r="E78" i="67" s="1"/>
  <c r="D78" i="67" s="1"/>
  <c r="C78" i="67" s="1"/>
  <c r="I21" i="67"/>
  <c r="J21" i="67" s="1"/>
  <c r="K21" i="67" s="1"/>
  <c r="L21" i="67" s="1"/>
  <c r="M21" i="67" s="1"/>
  <c r="I83" i="67"/>
  <c r="J83" i="67" s="1"/>
  <c r="K83" i="67" s="1"/>
  <c r="L83" i="67" s="1"/>
  <c r="M83" i="67" s="1"/>
  <c r="G92" i="67"/>
  <c r="F92" i="67" s="1"/>
  <c r="E92" i="67" s="1"/>
  <c r="D92" i="67" s="1"/>
  <c r="C92" i="67" s="1"/>
  <c r="I27" i="67"/>
  <c r="J27" i="67" s="1"/>
  <c r="K27" i="67" s="1"/>
  <c r="L27" i="67" s="1"/>
  <c r="M27" i="67" s="1"/>
  <c r="G126" i="67"/>
  <c r="F126" i="67" s="1"/>
  <c r="E126" i="67" s="1"/>
  <c r="D126" i="67" s="1"/>
  <c r="C126" i="67" s="1"/>
  <c r="G91" i="67"/>
  <c r="F91" i="67" s="1"/>
  <c r="E91" i="67" s="1"/>
  <c r="D91" i="67" s="1"/>
  <c r="C91" i="67" s="1"/>
  <c r="G34" i="67"/>
  <c r="F34" i="67" s="1"/>
  <c r="E34" i="67" s="1"/>
  <c r="D34" i="67" s="1"/>
  <c r="C34" i="67" s="1"/>
  <c r="G55" i="67"/>
  <c r="F55" i="67" s="1"/>
  <c r="E55" i="67" s="1"/>
  <c r="D55" i="67" s="1"/>
  <c r="C55" i="67" s="1"/>
  <c r="I22" i="67"/>
  <c r="J22" i="67" s="1"/>
  <c r="K22" i="67" s="1"/>
  <c r="L22" i="67" s="1"/>
  <c r="M22" i="67" s="1"/>
  <c r="I13" i="67"/>
  <c r="J13" i="67" s="1"/>
  <c r="K13" i="67" s="1"/>
  <c r="L13" i="67" s="1"/>
  <c r="M13" i="67" s="1"/>
  <c r="I77" i="67"/>
  <c r="J77" i="67" s="1"/>
  <c r="K77" i="67" s="1"/>
  <c r="L77" i="67" s="1"/>
  <c r="M77" i="67" s="1"/>
  <c r="G98" i="67"/>
  <c r="F98" i="67" s="1"/>
  <c r="E98" i="67" s="1"/>
  <c r="D98" i="67" s="1"/>
  <c r="C98" i="67" s="1"/>
  <c r="G70" i="67"/>
  <c r="F70" i="67" s="1"/>
  <c r="E70" i="67" s="1"/>
  <c r="D70" i="67" s="1"/>
  <c r="C70" i="67" s="1"/>
  <c r="I35" i="67"/>
  <c r="J35" i="67" s="1"/>
  <c r="K35" i="67" s="1"/>
  <c r="L35" i="67" s="1"/>
  <c r="M35" i="67" s="1"/>
  <c r="G99" i="67"/>
  <c r="F99" i="67" s="1"/>
  <c r="E99" i="67" s="1"/>
  <c r="D99" i="67" s="1"/>
  <c r="C99" i="67" s="1"/>
  <c r="I111" i="67"/>
  <c r="J111" i="67" s="1"/>
  <c r="K111" i="67" s="1"/>
  <c r="L111" i="67" s="1"/>
  <c r="M111" i="67" s="1"/>
  <c r="G64" i="67"/>
  <c r="F64" i="67" s="1"/>
  <c r="E64" i="67" s="1"/>
  <c r="D64" i="67" s="1"/>
  <c r="C64" i="67" s="1"/>
  <c r="I76" i="67"/>
  <c r="J76" i="67" s="1"/>
  <c r="K76" i="67" s="1"/>
  <c r="L76" i="67" s="1"/>
  <c r="M76" i="67" s="1"/>
  <c r="G69" i="67"/>
  <c r="F69" i="67" s="1"/>
  <c r="E69" i="67" s="1"/>
  <c r="D69" i="67" s="1"/>
  <c r="C69" i="67" s="1"/>
  <c r="G15" i="67"/>
  <c r="F15" i="67" s="1"/>
  <c r="E15" i="67" s="1"/>
  <c r="D15" i="67" s="1"/>
  <c r="C15" i="67" s="1"/>
  <c r="G125" i="67"/>
  <c r="F125" i="67" s="1"/>
  <c r="E125" i="67" s="1"/>
  <c r="D125" i="67" s="1"/>
  <c r="C125" i="67" s="1"/>
  <c r="I105" i="67"/>
  <c r="J105" i="67" s="1"/>
  <c r="K105" i="67" s="1"/>
  <c r="L105" i="67" s="1"/>
  <c r="M105" i="67" s="1"/>
  <c r="G112" i="67"/>
  <c r="F112" i="67" s="1"/>
  <c r="E112" i="67" s="1"/>
  <c r="D112" i="67" s="1"/>
  <c r="C112" i="67" s="1"/>
  <c r="I62" i="67"/>
  <c r="J62" i="67" s="1"/>
  <c r="K62" i="67" s="1"/>
  <c r="L62" i="67" s="1"/>
  <c r="M62" i="67" s="1"/>
  <c r="G36" i="67"/>
  <c r="F36" i="67" s="1"/>
  <c r="E36" i="67" s="1"/>
  <c r="D36" i="67" s="1"/>
  <c r="C36" i="67" s="1"/>
  <c r="G63" i="67"/>
  <c r="F63" i="67" s="1"/>
  <c r="E63" i="67" s="1"/>
  <c r="D63" i="67" s="1"/>
  <c r="C63" i="67" s="1"/>
  <c r="G104" i="67"/>
  <c r="F104" i="67" s="1"/>
  <c r="E104" i="67" s="1"/>
  <c r="D104" i="67" s="1"/>
  <c r="C104" i="67" s="1"/>
  <c r="H50" i="67"/>
  <c r="G50" i="67" s="1"/>
  <c r="F50" i="67" s="1"/>
  <c r="E50" i="67" s="1"/>
  <c r="D50" i="67" s="1"/>
  <c r="C50" i="67" s="1"/>
  <c r="G14" i="67"/>
  <c r="F14" i="67" s="1"/>
  <c r="E14" i="67" s="1"/>
  <c r="D14" i="67" s="1"/>
  <c r="C14" i="67" s="1"/>
  <c r="H119" i="67"/>
  <c r="G119" i="67" s="1"/>
  <c r="F119" i="67" s="1"/>
  <c r="E119" i="67" s="1"/>
  <c r="D119" i="67" s="1"/>
  <c r="C119" i="67" s="1"/>
  <c r="G20" i="67"/>
  <c r="F20" i="67" s="1"/>
  <c r="E20" i="67" s="1"/>
  <c r="D20" i="67" s="1"/>
  <c r="C20" i="67" s="1"/>
  <c r="G48" i="67"/>
  <c r="F48" i="67" s="1"/>
  <c r="E48" i="67" s="1"/>
  <c r="D48" i="67" s="1"/>
  <c r="C48" i="67" s="1"/>
  <c r="H42" i="67"/>
  <c r="Q43" i="67"/>
  <c r="G41" i="67"/>
  <c r="F41" i="67" s="1"/>
  <c r="E41" i="67" s="1"/>
  <c r="D41" i="67" s="1"/>
  <c r="C41" i="67" s="1"/>
  <c r="I41" i="67"/>
  <c r="J41" i="67" s="1"/>
  <c r="K41" i="67" s="1"/>
  <c r="L41" i="67" s="1"/>
  <c r="M41" i="67" s="1"/>
  <c r="F7" i="66"/>
  <c r="C7" i="66"/>
  <c r="P10" i="67"/>
  <c r="H10" i="67" s="1"/>
  <c r="I56" i="67"/>
  <c r="J56" i="67" s="1"/>
  <c r="K56" i="67" s="1"/>
  <c r="L56" i="67" s="1"/>
  <c r="M56" i="67" s="1"/>
  <c r="B34" i="28"/>
  <c r="H29" i="67"/>
  <c r="I29" i="67" s="1"/>
  <c r="J29" i="67" s="1"/>
  <c r="K29" i="67" s="1"/>
  <c r="L29" i="67" s="1"/>
  <c r="M29" i="67" s="1"/>
  <c r="Q121" i="67"/>
  <c r="H120" i="67"/>
  <c r="P81" i="67"/>
  <c r="H81" i="67" s="1"/>
  <c r="H80" i="67"/>
  <c r="G79" i="67"/>
  <c r="F79" i="67" s="1"/>
  <c r="E79" i="67" s="1"/>
  <c r="D79" i="67" s="1"/>
  <c r="C79" i="67" s="1"/>
  <c r="I79" i="67"/>
  <c r="J79" i="67" s="1"/>
  <c r="K79" i="67" s="1"/>
  <c r="L79" i="67" s="1"/>
  <c r="M79" i="67" s="1"/>
  <c r="Q88" i="67"/>
  <c r="H88" i="67" s="1"/>
  <c r="H87" i="67"/>
  <c r="I86" i="67"/>
  <c r="J86" i="67" s="1"/>
  <c r="K86" i="67" s="1"/>
  <c r="L86" i="67" s="1"/>
  <c r="M86" i="67" s="1"/>
  <c r="G86" i="67"/>
  <c r="F86" i="67" s="1"/>
  <c r="E86" i="67" s="1"/>
  <c r="D86" i="67" s="1"/>
  <c r="C86" i="67" s="1"/>
  <c r="G71" i="67"/>
  <c r="F71" i="67" s="1"/>
  <c r="E71" i="67" s="1"/>
  <c r="D71" i="67" s="1"/>
  <c r="C71" i="67" s="1"/>
  <c r="I71" i="67"/>
  <c r="J71" i="67" s="1"/>
  <c r="K71" i="67" s="1"/>
  <c r="L71" i="67" s="1"/>
  <c r="M71" i="67" s="1"/>
  <c r="I9" i="67"/>
  <c r="J9" i="67" s="1"/>
  <c r="K9" i="67" s="1"/>
  <c r="L9" i="67" s="1"/>
  <c r="M9" i="67" s="1"/>
  <c r="G9" i="67"/>
  <c r="F9" i="67" s="1"/>
  <c r="E9" i="67" s="1"/>
  <c r="D9" i="67" s="1"/>
  <c r="C9" i="67" s="1"/>
  <c r="H101" i="67"/>
  <c r="P102" i="67"/>
  <c r="H102" i="67" s="1"/>
  <c r="I113" i="67"/>
  <c r="J113" i="67" s="1"/>
  <c r="K113" i="67" s="1"/>
  <c r="L113" i="67" s="1"/>
  <c r="M113" i="67" s="1"/>
  <c r="G113" i="67"/>
  <c r="F113" i="67" s="1"/>
  <c r="E113" i="67" s="1"/>
  <c r="D113" i="67" s="1"/>
  <c r="C113" i="67" s="1"/>
  <c r="P39" i="67"/>
  <c r="H39" i="67" s="1"/>
  <c r="H38" i="67"/>
  <c r="G93" i="67"/>
  <c r="F93" i="67" s="1"/>
  <c r="E93" i="67" s="1"/>
  <c r="D93" i="67" s="1"/>
  <c r="C93" i="67" s="1"/>
  <c r="I93" i="67"/>
  <c r="J93" i="67" s="1"/>
  <c r="K93" i="67" s="1"/>
  <c r="L93" i="67" s="1"/>
  <c r="M93" i="67" s="1"/>
  <c r="H58" i="67"/>
  <c r="P59" i="67"/>
  <c r="P73" i="67"/>
  <c r="H72" i="67"/>
  <c r="I100" i="67"/>
  <c r="J100" i="67" s="1"/>
  <c r="K100" i="67" s="1"/>
  <c r="L100" i="67" s="1"/>
  <c r="M100" i="67" s="1"/>
  <c r="G100" i="67"/>
  <c r="F100" i="67" s="1"/>
  <c r="E100" i="67" s="1"/>
  <c r="D100" i="67" s="1"/>
  <c r="C100" i="67" s="1"/>
  <c r="Q115" i="67"/>
  <c r="H114" i="67"/>
  <c r="I37" i="67"/>
  <c r="J37" i="67" s="1"/>
  <c r="K37" i="67" s="1"/>
  <c r="L37" i="67" s="1"/>
  <c r="M37" i="67" s="1"/>
  <c r="G37" i="67"/>
  <c r="F37" i="67" s="1"/>
  <c r="E37" i="67" s="1"/>
  <c r="D37" i="67" s="1"/>
  <c r="C37" i="67" s="1"/>
  <c r="H94" i="67"/>
  <c r="P95" i="67"/>
  <c r="H95" i="67" s="1"/>
  <c r="G57" i="67"/>
  <c r="F57" i="67" s="1"/>
  <c r="E57" i="67" s="1"/>
  <c r="D57" i="67" s="1"/>
  <c r="C57" i="67" s="1"/>
  <c r="I57" i="67"/>
  <c r="J57" i="67" s="1"/>
  <c r="K57" i="67" s="1"/>
  <c r="L57" i="67" s="1"/>
  <c r="M57" i="67" s="1"/>
  <c r="G23" i="67"/>
  <c r="F23" i="67" s="1"/>
  <c r="E23" i="67" s="1"/>
  <c r="D23" i="67" s="1"/>
  <c r="C23" i="67" s="1"/>
  <c r="I23" i="67"/>
  <c r="J23" i="67" s="1"/>
  <c r="K23" i="67" s="1"/>
  <c r="L23" i="67" s="1"/>
  <c r="M23" i="67" s="1"/>
  <c r="H128" i="67"/>
  <c r="P129" i="67"/>
  <c r="P18" i="67"/>
  <c r="H18" i="67" s="1"/>
  <c r="H17" i="67"/>
  <c r="P31" i="67"/>
  <c r="H30" i="67"/>
  <c r="I65" i="67"/>
  <c r="J65" i="67" s="1"/>
  <c r="K65" i="67" s="1"/>
  <c r="L65" i="67" s="1"/>
  <c r="M65" i="67" s="1"/>
  <c r="G65" i="67"/>
  <c r="F65" i="67" s="1"/>
  <c r="E65" i="67" s="1"/>
  <c r="D65" i="67" s="1"/>
  <c r="C65" i="67" s="1"/>
  <c r="P108" i="67"/>
  <c r="H107" i="67"/>
  <c r="H24" i="67"/>
  <c r="P25" i="67"/>
  <c r="H25" i="67" s="1"/>
  <c r="I127" i="67"/>
  <c r="J127" i="67" s="1"/>
  <c r="K127" i="67" s="1"/>
  <c r="L127" i="67" s="1"/>
  <c r="M127" i="67" s="1"/>
  <c r="G127" i="67"/>
  <c r="F127" i="67" s="1"/>
  <c r="E127" i="67" s="1"/>
  <c r="D127" i="67" s="1"/>
  <c r="C127" i="67" s="1"/>
  <c r="G16" i="67"/>
  <c r="F16" i="67" s="1"/>
  <c r="E16" i="67" s="1"/>
  <c r="D16" i="67" s="1"/>
  <c r="C16" i="67" s="1"/>
  <c r="I16" i="67"/>
  <c r="J16" i="67" s="1"/>
  <c r="K16" i="67" s="1"/>
  <c r="L16" i="67" s="1"/>
  <c r="M16" i="67" s="1"/>
  <c r="P67" i="67"/>
  <c r="H67" i="67" s="1"/>
  <c r="H66" i="67"/>
  <c r="P52" i="67"/>
  <c r="H51" i="67"/>
  <c r="G106" i="67"/>
  <c r="F106" i="67" s="1"/>
  <c r="E106" i="67" s="1"/>
  <c r="D106" i="67" s="1"/>
  <c r="C106" i="67" s="1"/>
  <c r="I106" i="67"/>
  <c r="J106" i="67" s="1"/>
  <c r="K106" i="67" s="1"/>
  <c r="L106" i="67" s="1"/>
  <c r="M106" i="67" s="1"/>
  <c r="I50" i="67" l="1"/>
  <c r="J50" i="67" s="1"/>
  <c r="K50" i="67" s="1"/>
  <c r="L50" i="67" s="1"/>
  <c r="M50" i="67" s="1"/>
  <c r="I119" i="67"/>
  <c r="J119" i="67" s="1"/>
  <c r="K119" i="67" s="1"/>
  <c r="L119" i="67" s="1"/>
  <c r="M119" i="67" s="1"/>
  <c r="P11" i="67"/>
  <c r="H11" i="67" s="1"/>
  <c r="G11" i="67" s="1"/>
  <c r="F11" i="67" s="1"/>
  <c r="E11" i="67" s="1"/>
  <c r="D11" i="67" s="1"/>
  <c r="C11" i="67" s="1"/>
  <c r="Q44" i="67"/>
  <c r="H43" i="67"/>
  <c r="G42" i="67"/>
  <c r="F42" i="67" s="1"/>
  <c r="E42" i="67" s="1"/>
  <c r="D42" i="67" s="1"/>
  <c r="C42" i="67" s="1"/>
  <c r="I42" i="67"/>
  <c r="J42" i="67" s="1"/>
  <c r="K42" i="67" s="1"/>
  <c r="L42" i="67" s="1"/>
  <c r="M42" i="67" s="1"/>
  <c r="C8" i="66"/>
  <c r="F8" i="66"/>
  <c r="G29" i="67"/>
  <c r="F29" i="67" s="1"/>
  <c r="E29" i="67" s="1"/>
  <c r="D29" i="67" s="1"/>
  <c r="C29" i="67" s="1"/>
  <c r="B35" i="28"/>
  <c r="Q122" i="67"/>
  <c r="H121" i="67"/>
  <c r="G120" i="67"/>
  <c r="F120" i="67" s="1"/>
  <c r="E120" i="67" s="1"/>
  <c r="D120" i="67" s="1"/>
  <c r="C120" i="67" s="1"/>
  <c r="I120" i="67"/>
  <c r="J120" i="67" s="1"/>
  <c r="K120" i="67" s="1"/>
  <c r="L120" i="67" s="1"/>
  <c r="M120" i="67" s="1"/>
  <c r="I87" i="67"/>
  <c r="J87" i="67" s="1"/>
  <c r="K87" i="67" s="1"/>
  <c r="L87" i="67" s="1"/>
  <c r="M87" i="67" s="1"/>
  <c r="G87" i="67"/>
  <c r="F87" i="67" s="1"/>
  <c r="E87" i="67" s="1"/>
  <c r="D87" i="67" s="1"/>
  <c r="C87" i="67" s="1"/>
  <c r="I80" i="67"/>
  <c r="J80" i="67" s="1"/>
  <c r="K80" i="67" s="1"/>
  <c r="L80" i="67" s="1"/>
  <c r="M80" i="67" s="1"/>
  <c r="G80" i="67"/>
  <c r="F80" i="67" s="1"/>
  <c r="E80" i="67" s="1"/>
  <c r="D80" i="67" s="1"/>
  <c r="C80" i="67" s="1"/>
  <c r="G88" i="67"/>
  <c r="F88" i="67" s="1"/>
  <c r="E88" i="67" s="1"/>
  <c r="D88" i="67" s="1"/>
  <c r="C88" i="67" s="1"/>
  <c r="I88" i="67"/>
  <c r="J88" i="67" s="1"/>
  <c r="K88" i="67" s="1"/>
  <c r="L88" i="67" s="1"/>
  <c r="M88" i="67" s="1"/>
  <c r="G81" i="67"/>
  <c r="F81" i="67" s="1"/>
  <c r="E81" i="67" s="1"/>
  <c r="D81" i="67" s="1"/>
  <c r="C81" i="67" s="1"/>
  <c r="I81" i="67"/>
  <c r="J81" i="67" s="1"/>
  <c r="K81" i="67" s="1"/>
  <c r="L81" i="67" s="1"/>
  <c r="M81" i="67" s="1"/>
  <c r="G66" i="67"/>
  <c r="F66" i="67" s="1"/>
  <c r="E66" i="67" s="1"/>
  <c r="D66" i="67" s="1"/>
  <c r="C66" i="67" s="1"/>
  <c r="I66" i="67"/>
  <c r="J66" i="67" s="1"/>
  <c r="K66" i="67" s="1"/>
  <c r="L66" i="67" s="1"/>
  <c r="M66" i="67" s="1"/>
  <c r="I107" i="67"/>
  <c r="J107" i="67" s="1"/>
  <c r="K107" i="67" s="1"/>
  <c r="L107" i="67" s="1"/>
  <c r="M107" i="67" s="1"/>
  <c r="G107" i="67"/>
  <c r="F107" i="67" s="1"/>
  <c r="E107" i="67" s="1"/>
  <c r="D107" i="67" s="1"/>
  <c r="C107" i="67" s="1"/>
  <c r="H129" i="67"/>
  <c r="P130" i="67"/>
  <c r="H130" i="67" s="1"/>
  <c r="G95" i="67"/>
  <c r="F95" i="67" s="1"/>
  <c r="E95" i="67" s="1"/>
  <c r="D95" i="67" s="1"/>
  <c r="C95" i="67" s="1"/>
  <c r="I95" i="67"/>
  <c r="J95" i="67" s="1"/>
  <c r="K95" i="67" s="1"/>
  <c r="L95" i="67" s="1"/>
  <c r="M95" i="67" s="1"/>
  <c r="I114" i="67"/>
  <c r="J114" i="67" s="1"/>
  <c r="K114" i="67" s="1"/>
  <c r="L114" i="67" s="1"/>
  <c r="M114" i="67" s="1"/>
  <c r="G114" i="67"/>
  <c r="F114" i="67" s="1"/>
  <c r="E114" i="67" s="1"/>
  <c r="D114" i="67" s="1"/>
  <c r="C114" i="67" s="1"/>
  <c r="I10" i="67"/>
  <c r="J10" i="67" s="1"/>
  <c r="K10" i="67" s="1"/>
  <c r="L10" i="67" s="1"/>
  <c r="M10" i="67" s="1"/>
  <c r="G10" i="67"/>
  <c r="F10" i="67" s="1"/>
  <c r="E10" i="67" s="1"/>
  <c r="D10" i="67" s="1"/>
  <c r="C10" i="67" s="1"/>
  <c r="G39" i="67"/>
  <c r="F39" i="67" s="1"/>
  <c r="E39" i="67" s="1"/>
  <c r="D39" i="67" s="1"/>
  <c r="C39" i="67" s="1"/>
  <c r="I39" i="67"/>
  <c r="J39" i="67" s="1"/>
  <c r="K39" i="67" s="1"/>
  <c r="L39" i="67" s="1"/>
  <c r="M39" i="67" s="1"/>
  <c r="I101" i="67"/>
  <c r="J101" i="67" s="1"/>
  <c r="K101" i="67" s="1"/>
  <c r="L101" i="67" s="1"/>
  <c r="M101" i="67" s="1"/>
  <c r="G101" i="67"/>
  <c r="F101" i="67" s="1"/>
  <c r="E101" i="67" s="1"/>
  <c r="D101" i="67" s="1"/>
  <c r="C101" i="67" s="1"/>
  <c r="G67" i="67"/>
  <c r="F67" i="67" s="1"/>
  <c r="E67" i="67" s="1"/>
  <c r="D67" i="67" s="1"/>
  <c r="C67" i="67" s="1"/>
  <c r="I67" i="67"/>
  <c r="J67" i="67" s="1"/>
  <c r="K67" i="67" s="1"/>
  <c r="L67" i="67" s="1"/>
  <c r="M67" i="67" s="1"/>
  <c r="H108" i="67"/>
  <c r="P109" i="67"/>
  <c r="H109" i="67" s="1"/>
  <c r="I128" i="67"/>
  <c r="J128" i="67" s="1"/>
  <c r="K128" i="67" s="1"/>
  <c r="L128" i="67" s="1"/>
  <c r="M128" i="67" s="1"/>
  <c r="G128" i="67"/>
  <c r="F128" i="67" s="1"/>
  <c r="E128" i="67" s="1"/>
  <c r="D128" i="67" s="1"/>
  <c r="C128" i="67" s="1"/>
  <c r="G94" i="67"/>
  <c r="F94" i="67" s="1"/>
  <c r="E94" i="67" s="1"/>
  <c r="D94" i="67" s="1"/>
  <c r="C94" i="67" s="1"/>
  <c r="I94" i="67"/>
  <c r="J94" i="67" s="1"/>
  <c r="K94" i="67" s="1"/>
  <c r="L94" i="67" s="1"/>
  <c r="M94" i="67" s="1"/>
  <c r="Q116" i="67"/>
  <c r="H116" i="67" s="1"/>
  <c r="H115" i="67"/>
  <c r="P60" i="67"/>
  <c r="H60" i="67" s="1"/>
  <c r="H59" i="67"/>
  <c r="I51" i="67"/>
  <c r="J51" i="67" s="1"/>
  <c r="K51" i="67" s="1"/>
  <c r="L51" i="67" s="1"/>
  <c r="M51" i="67" s="1"/>
  <c r="G51" i="67"/>
  <c r="F51" i="67" s="1"/>
  <c r="E51" i="67" s="1"/>
  <c r="D51" i="67" s="1"/>
  <c r="C51" i="67" s="1"/>
  <c r="I25" i="67"/>
  <c r="J25" i="67" s="1"/>
  <c r="K25" i="67" s="1"/>
  <c r="L25" i="67" s="1"/>
  <c r="M25" i="67" s="1"/>
  <c r="G25" i="67"/>
  <c r="F25" i="67" s="1"/>
  <c r="E25" i="67" s="1"/>
  <c r="D25" i="67" s="1"/>
  <c r="C25" i="67" s="1"/>
  <c r="G30" i="67"/>
  <c r="F30" i="67" s="1"/>
  <c r="E30" i="67" s="1"/>
  <c r="D30" i="67" s="1"/>
  <c r="C30" i="67" s="1"/>
  <c r="I30" i="67"/>
  <c r="J30" i="67" s="1"/>
  <c r="K30" i="67" s="1"/>
  <c r="L30" i="67" s="1"/>
  <c r="M30" i="67" s="1"/>
  <c r="I17" i="67"/>
  <c r="J17" i="67" s="1"/>
  <c r="K17" i="67" s="1"/>
  <c r="L17" i="67" s="1"/>
  <c r="M17" i="67" s="1"/>
  <c r="G17" i="67"/>
  <c r="F17" i="67" s="1"/>
  <c r="E17" i="67" s="1"/>
  <c r="D17" i="67" s="1"/>
  <c r="C17" i="67" s="1"/>
  <c r="I72" i="67"/>
  <c r="J72" i="67" s="1"/>
  <c r="K72" i="67" s="1"/>
  <c r="L72" i="67" s="1"/>
  <c r="M72" i="67" s="1"/>
  <c r="G72" i="67"/>
  <c r="F72" i="67" s="1"/>
  <c r="E72" i="67" s="1"/>
  <c r="D72" i="67" s="1"/>
  <c r="C72" i="67" s="1"/>
  <c r="I58" i="67"/>
  <c r="J58" i="67" s="1"/>
  <c r="K58" i="67" s="1"/>
  <c r="L58" i="67" s="1"/>
  <c r="M58" i="67" s="1"/>
  <c r="G58" i="67"/>
  <c r="F58" i="67" s="1"/>
  <c r="E58" i="67" s="1"/>
  <c r="D58" i="67" s="1"/>
  <c r="C58" i="67" s="1"/>
  <c r="H52" i="67"/>
  <c r="P53" i="67"/>
  <c r="H53" i="67" s="1"/>
  <c r="I24" i="67"/>
  <c r="J24" i="67" s="1"/>
  <c r="K24" i="67" s="1"/>
  <c r="L24" i="67" s="1"/>
  <c r="M24" i="67" s="1"/>
  <c r="G24" i="67"/>
  <c r="F24" i="67" s="1"/>
  <c r="E24" i="67" s="1"/>
  <c r="D24" i="67" s="1"/>
  <c r="C24" i="67" s="1"/>
  <c r="H31" i="67"/>
  <c r="P32" i="67"/>
  <c r="H32" i="67" s="1"/>
  <c r="I18" i="67"/>
  <c r="J18" i="67" s="1"/>
  <c r="K18" i="67" s="1"/>
  <c r="L18" i="67" s="1"/>
  <c r="M18" i="67" s="1"/>
  <c r="G18" i="67"/>
  <c r="F18" i="67" s="1"/>
  <c r="E18" i="67" s="1"/>
  <c r="D18" i="67" s="1"/>
  <c r="C18" i="67" s="1"/>
  <c r="P74" i="67"/>
  <c r="H74" i="67" s="1"/>
  <c r="H73" i="67"/>
  <c r="I38" i="67"/>
  <c r="J38" i="67" s="1"/>
  <c r="K38" i="67" s="1"/>
  <c r="L38" i="67" s="1"/>
  <c r="M38" i="67" s="1"/>
  <c r="G38" i="67"/>
  <c r="F38" i="67" s="1"/>
  <c r="E38" i="67" s="1"/>
  <c r="D38" i="67" s="1"/>
  <c r="C38" i="67" s="1"/>
  <c r="I102" i="67"/>
  <c r="J102" i="67" s="1"/>
  <c r="K102" i="67" s="1"/>
  <c r="L102" i="67" s="1"/>
  <c r="M102" i="67" s="1"/>
  <c r="G102" i="67"/>
  <c r="F102" i="67" s="1"/>
  <c r="E102" i="67" s="1"/>
  <c r="D102" i="67" s="1"/>
  <c r="C102" i="67" s="1"/>
  <c r="I11" i="67" l="1"/>
  <c r="J11" i="67" s="1"/>
  <c r="K11" i="67" s="1"/>
  <c r="L11" i="67" s="1"/>
  <c r="M11" i="67" s="1"/>
  <c r="I43" i="67"/>
  <c r="J43" i="67" s="1"/>
  <c r="K43" i="67" s="1"/>
  <c r="L43" i="67" s="1"/>
  <c r="M43" i="67" s="1"/>
  <c r="G43" i="67"/>
  <c r="F43" i="67" s="1"/>
  <c r="E43" i="67" s="1"/>
  <c r="D43" i="67" s="1"/>
  <c r="C43" i="67" s="1"/>
  <c r="Q45" i="67"/>
  <c r="H44" i="67"/>
  <c r="F9" i="66"/>
  <c r="C9" i="66"/>
  <c r="B36" i="28"/>
  <c r="B38" i="28" s="1"/>
  <c r="G121" i="67"/>
  <c r="F121" i="67" s="1"/>
  <c r="E121" i="67" s="1"/>
  <c r="D121" i="67" s="1"/>
  <c r="C121" i="67" s="1"/>
  <c r="I121" i="67"/>
  <c r="J121" i="67" s="1"/>
  <c r="K121" i="67" s="1"/>
  <c r="L121" i="67" s="1"/>
  <c r="M121" i="67" s="1"/>
  <c r="Q123" i="67"/>
  <c r="H123" i="67" s="1"/>
  <c r="H122" i="67"/>
  <c r="G60" i="67"/>
  <c r="F60" i="67" s="1"/>
  <c r="E60" i="67" s="1"/>
  <c r="D60" i="67" s="1"/>
  <c r="C60" i="67" s="1"/>
  <c r="I60" i="67"/>
  <c r="J60" i="67" s="1"/>
  <c r="K60" i="67" s="1"/>
  <c r="L60" i="67" s="1"/>
  <c r="M60" i="67" s="1"/>
  <c r="G116" i="67"/>
  <c r="F116" i="67" s="1"/>
  <c r="E116" i="67" s="1"/>
  <c r="D116" i="67" s="1"/>
  <c r="C116" i="67" s="1"/>
  <c r="I116" i="67"/>
  <c r="J116" i="67" s="1"/>
  <c r="K116" i="67" s="1"/>
  <c r="L116" i="67" s="1"/>
  <c r="M116" i="67" s="1"/>
  <c r="I73" i="67"/>
  <c r="J73" i="67" s="1"/>
  <c r="K73" i="67" s="1"/>
  <c r="L73" i="67" s="1"/>
  <c r="M73" i="67" s="1"/>
  <c r="G73" i="67"/>
  <c r="F73" i="67" s="1"/>
  <c r="E73" i="67" s="1"/>
  <c r="D73" i="67" s="1"/>
  <c r="C73" i="67" s="1"/>
  <c r="I32" i="67"/>
  <c r="J32" i="67" s="1"/>
  <c r="K32" i="67" s="1"/>
  <c r="L32" i="67" s="1"/>
  <c r="M32" i="67" s="1"/>
  <c r="G32" i="67"/>
  <c r="F32" i="67" s="1"/>
  <c r="E32" i="67" s="1"/>
  <c r="D32" i="67" s="1"/>
  <c r="C32" i="67" s="1"/>
  <c r="G53" i="67"/>
  <c r="F53" i="67" s="1"/>
  <c r="E53" i="67" s="1"/>
  <c r="D53" i="67" s="1"/>
  <c r="C53" i="67" s="1"/>
  <c r="I53" i="67"/>
  <c r="J53" i="67" s="1"/>
  <c r="K53" i="67" s="1"/>
  <c r="L53" i="67" s="1"/>
  <c r="M53" i="67" s="1"/>
  <c r="G109" i="67"/>
  <c r="F109" i="67" s="1"/>
  <c r="E109" i="67" s="1"/>
  <c r="D109" i="67" s="1"/>
  <c r="C109" i="67" s="1"/>
  <c r="I109" i="67"/>
  <c r="J109" i="67" s="1"/>
  <c r="K109" i="67" s="1"/>
  <c r="L109" i="67" s="1"/>
  <c r="M109" i="67" s="1"/>
  <c r="I130" i="67"/>
  <c r="J130" i="67" s="1"/>
  <c r="K130" i="67" s="1"/>
  <c r="L130" i="67" s="1"/>
  <c r="M130" i="67" s="1"/>
  <c r="G130" i="67"/>
  <c r="F130" i="67" s="1"/>
  <c r="E130" i="67" s="1"/>
  <c r="D130" i="67" s="1"/>
  <c r="C130" i="67" s="1"/>
  <c r="G74" i="67"/>
  <c r="F74" i="67" s="1"/>
  <c r="E74" i="67" s="1"/>
  <c r="D74" i="67" s="1"/>
  <c r="C74" i="67" s="1"/>
  <c r="I74" i="67"/>
  <c r="J74" i="67" s="1"/>
  <c r="K74" i="67" s="1"/>
  <c r="L74" i="67" s="1"/>
  <c r="M74" i="67" s="1"/>
  <c r="I31" i="67"/>
  <c r="J31" i="67" s="1"/>
  <c r="K31" i="67" s="1"/>
  <c r="L31" i="67" s="1"/>
  <c r="M31" i="67" s="1"/>
  <c r="G31" i="67"/>
  <c r="F31" i="67" s="1"/>
  <c r="E31" i="67" s="1"/>
  <c r="D31" i="67" s="1"/>
  <c r="C31" i="67" s="1"/>
  <c r="I52" i="67"/>
  <c r="J52" i="67" s="1"/>
  <c r="K52" i="67" s="1"/>
  <c r="L52" i="67" s="1"/>
  <c r="M52" i="67" s="1"/>
  <c r="G52" i="67"/>
  <c r="F52" i="67" s="1"/>
  <c r="E52" i="67" s="1"/>
  <c r="D52" i="67" s="1"/>
  <c r="C52" i="67" s="1"/>
  <c r="G108" i="67"/>
  <c r="F108" i="67" s="1"/>
  <c r="E108" i="67" s="1"/>
  <c r="D108" i="67" s="1"/>
  <c r="C108" i="67" s="1"/>
  <c r="I108" i="67"/>
  <c r="J108" i="67" s="1"/>
  <c r="K108" i="67" s="1"/>
  <c r="L108" i="67" s="1"/>
  <c r="M108" i="67" s="1"/>
  <c r="G129" i="67"/>
  <c r="F129" i="67" s="1"/>
  <c r="E129" i="67" s="1"/>
  <c r="D129" i="67" s="1"/>
  <c r="C129" i="67" s="1"/>
  <c r="I129" i="67"/>
  <c r="J129" i="67" s="1"/>
  <c r="K129" i="67" s="1"/>
  <c r="L129" i="67" s="1"/>
  <c r="M129" i="67" s="1"/>
  <c r="G59" i="67"/>
  <c r="F59" i="67" s="1"/>
  <c r="E59" i="67" s="1"/>
  <c r="D59" i="67" s="1"/>
  <c r="C59" i="67" s="1"/>
  <c r="I59" i="67"/>
  <c r="J59" i="67" s="1"/>
  <c r="K59" i="67" s="1"/>
  <c r="L59" i="67" s="1"/>
  <c r="M59" i="67" s="1"/>
  <c r="I115" i="67"/>
  <c r="J115" i="67" s="1"/>
  <c r="K115" i="67" s="1"/>
  <c r="L115" i="67" s="1"/>
  <c r="M115" i="67" s="1"/>
  <c r="G115" i="67"/>
  <c r="F115" i="67" s="1"/>
  <c r="E115" i="67" s="1"/>
  <c r="D115" i="67" s="1"/>
  <c r="C115" i="67" s="1"/>
  <c r="G44" i="67" l="1"/>
  <c r="F44" i="67" s="1"/>
  <c r="E44" i="67" s="1"/>
  <c r="D44" i="67" s="1"/>
  <c r="C44" i="67" s="1"/>
  <c r="I44" i="67"/>
  <c r="J44" i="67" s="1"/>
  <c r="K44" i="67" s="1"/>
  <c r="L44" i="67" s="1"/>
  <c r="M44" i="67" s="1"/>
  <c r="H45" i="67"/>
  <c r="Q46" i="67"/>
  <c r="H46" i="67" s="1"/>
  <c r="C10" i="66"/>
  <c r="F10" i="66"/>
  <c r="G122" i="67"/>
  <c r="F122" i="67" s="1"/>
  <c r="E122" i="67" s="1"/>
  <c r="D122" i="67" s="1"/>
  <c r="C122" i="67" s="1"/>
  <c r="I122" i="67"/>
  <c r="J122" i="67" s="1"/>
  <c r="K122" i="67" s="1"/>
  <c r="L122" i="67" s="1"/>
  <c r="M122" i="67" s="1"/>
  <c r="G123" i="67"/>
  <c r="F123" i="67" s="1"/>
  <c r="E123" i="67" s="1"/>
  <c r="D123" i="67" s="1"/>
  <c r="C123" i="67" s="1"/>
  <c r="I123" i="67"/>
  <c r="J123" i="67" s="1"/>
  <c r="K123" i="67" s="1"/>
  <c r="L123" i="67" s="1"/>
  <c r="M123" i="67" s="1"/>
  <c r="I46" i="67" l="1"/>
  <c r="J46" i="67" s="1"/>
  <c r="K46" i="67" s="1"/>
  <c r="L46" i="67" s="1"/>
  <c r="M46" i="67" s="1"/>
  <c r="G46" i="67"/>
  <c r="F46" i="67" s="1"/>
  <c r="E46" i="67" s="1"/>
  <c r="D46" i="67" s="1"/>
  <c r="C46" i="67" s="1"/>
  <c r="G45" i="67"/>
  <c r="F45" i="67" s="1"/>
  <c r="E45" i="67" s="1"/>
  <c r="D45" i="67" s="1"/>
  <c r="C45" i="67" s="1"/>
  <c r="I45" i="67"/>
  <c r="J45" i="67" s="1"/>
  <c r="K45" i="67" s="1"/>
  <c r="L45" i="67" s="1"/>
  <c r="M45" i="67" s="1"/>
  <c r="F11" i="66"/>
  <c r="C11" i="66"/>
  <c r="B39" i="28"/>
  <c r="B40" i="28" s="1"/>
  <c r="B41" i="28" s="1"/>
  <c r="B42" i="28" s="1"/>
  <c r="B43" i="28" s="1"/>
  <c r="B44" i="28" s="1"/>
  <c r="B46" i="28" s="1"/>
  <c r="B19" i="27"/>
  <c r="C12" i="66" l="1"/>
  <c r="F12" i="66"/>
  <c r="B20" i="27"/>
  <c r="B47" i="28"/>
  <c r="B48" i="28" s="1"/>
  <c r="B49" i="28" s="1"/>
  <c r="B50" i="28" s="1"/>
  <c r="B51" i="28" s="1"/>
  <c r="B52" i="28" s="1"/>
  <c r="B54" i="28" s="1"/>
  <c r="C13" i="66" l="1"/>
  <c r="F13" i="66"/>
  <c r="B21" i="27"/>
  <c r="B55" i="28"/>
  <c r="B56" i="28" s="1"/>
  <c r="B57" i="28" s="1"/>
  <c r="B58" i="28" s="1"/>
  <c r="B59" i="28" s="1"/>
  <c r="B60" i="28" s="1"/>
  <c r="B62" i="28" s="1"/>
  <c r="C14" i="66" l="1"/>
  <c r="F14" i="66"/>
  <c r="B63" i="28"/>
  <c r="B64" i="28" s="1"/>
  <c r="B65" i="28" s="1"/>
  <c r="B66" i="28" s="1"/>
  <c r="B67" i="28" s="1"/>
  <c r="B68" i="28" s="1"/>
  <c r="B70" i="28" s="1"/>
  <c r="B22" i="27"/>
  <c r="F15" i="66" l="1"/>
  <c r="C15" i="66"/>
  <c r="B71" i="28"/>
  <c r="B72" i="28" s="1"/>
  <c r="B73" i="28" s="1"/>
  <c r="B74" i="28" s="1"/>
  <c r="B75" i="28" s="1"/>
  <c r="B76" i="28" s="1"/>
  <c r="B78" i="28" s="1"/>
  <c r="B23" i="27"/>
  <c r="F16" i="66" l="1"/>
  <c r="C16" i="66"/>
  <c r="B79" i="28"/>
  <c r="B80" i="28" s="1"/>
  <c r="B81" i="28" s="1"/>
  <c r="B82" i="28" s="1"/>
  <c r="B83" i="28" s="1"/>
  <c r="B84" i="28" s="1"/>
  <c r="B86" i="28" s="1"/>
  <c r="B24" i="27"/>
  <c r="F17" i="66" l="1"/>
  <c r="C17" i="66"/>
  <c r="B25" i="27"/>
  <c r="B87" i="28"/>
  <c r="B88" i="28" s="1"/>
  <c r="B89" i="28" s="1"/>
  <c r="B90" i="28" s="1"/>
  <c r="B91" i="28" s="1"/>
  <c r="B92" i="28" s="1"/>
  <c r="B94" i="28" s="1"/>
  <c r="C18" i="66" l="1"/>
  <c r="F18" i="66"/>
  <c r="B26" i="27"/>
  <c r="B95" i="28"/>
  <c r="B96" i="28" s="1"/>
  <c r="B97" i="28" s="1"/>
  <c r="B98" i="28" s="1"/>
  <c r="B99" i="28" s="1"/>
  <c r="B100" i="28" s="1"/>
  <c r="B102" i="28" s="1"/>
  <c r="B27" i="27" l="1"/>
  <c r="B103" i="28"/>
  <c r="B104" i="28" l="1"/>
  <c r="B105" i="28" s="1"/>
  <c r="B106" i="28" s="1"/>
  <c r="B107" i="28" s="1"/>
  <c r="B108" i="28" s="1"/>
  <c r="B110" i="28" s="1"/>
  <c r="B111" i="28" s="1"/>
  <c r="B112" i="28" s="1"/>
  <c r="B113" i="28" s="1"/>
  <c r="B114" i="28" s="1"/>
  <c r="B115" i="28" s="1"/>
  <c r="B116" i="28" s="1"/>
  <c r="B118" i="28" s="1"/>
  <c r="B28" i="27" l="1"/>
  <c r="B29" i="27"/>
  <c r="B119" i="28"/>
  <c r="B120" i="28" l="1"/>
  <c r="B121" i="28" l="1"/>
  <c r="B122" i="28" l="1"/>
  <c r="B123" i="28" l="1"/>
  <c r="B124" i="28" l="1"/>
  <c r="B126" i="28" l="1"/>
  <c r="B30" i="27" l="1"/>
  <c r="B127" i="28"/>
  <c r="B128" i="28" s="1"/>
  <c r="B129" i="28" s="1"/>
  <c r="B130" i="28" s="1"/>
  <c r="B131" i="28" s="1"/>
  <c r="B132" i="28" s="1"/>
  <c r="B134" i="28" s="1"/>
  <c r="B135" i="28" l="1"/>
  <c r="B136" i="28" s="1"/>
  <c r="B137" i="28" s="1"/>
  <c r="B138" i="28" s="1"/>
  <c r="B139" i="28" s="1"/>
  <c r="B140" i="28" s="1"/>
  <c r="B142" i="28" s="1"/>
  <c r="B31" i="27"/>
  <c r="B32" i="27" l="1"/>
  <c r="B143" i="28"/>
  <c r="B144" i="28" s="1"/>
  <c r="B145" i="28" s="1"/>
  <c r="B146" i="28" s="1"/>
  <c r="B147" i="28" s="1"/>
  <c r="B148" i="28" s="1"/>
  <c r="B150" i="28" s="1"/>
  <c r="B151" i="28" l="1"/>
  <c r="B152" i="28" s="1"/>
  <c r="B153" i="28" s="1"/>
  <c r="B154" i="28" s="1"/>
  <c r="B155" i="28" s="1"/>
  <c r="B156" i="28" s="1"/>
  <c r="B158" i="28" s="1"/>
  <c r="B33" i="27"/>
  <c r="B34" i="27" l="1"/>
  <c r="B159" i="28"/>
  <c r="B160" i="28" s="1"/>
  <c r="B161" i="28" s="1"/>
  <c r="B162" i="28" s="1"/>
  <c r="B163" i="28" s="1"/>
  <c r="B164" i="28" s="1"/>
  <c r="B166" i="28" s="1"/>
  <c r="B167" i="28" l="1"/>
  <c r="B168" i="28" s="1"/>
  <c r="B169" i="28" s="1"/>
  <c r="B170" i="28" s="1"/>
  <c r="B171" i="28" s="1"/>
  <c r="B172" i="28" s="1"/>
  <c r="B174" i="28" s="1"/>
  <c r="B35" i="27"/>
  <c r="B175" i="28" l="1"/>
  <c r="B176" i="28" s="1"/>
  <c r="B177" i="28" s="1"/>
  <c r="B178" i="28" s="1"/>
  <c r="B179" i="28" s="1"/>
  <c r="B180" i="28" s="1"/>
  <c r="B182" i="28" s="1"/>
  <c r="B36" i="27"/>
  <c r="B37" i="27" l="1"/>
  <c r="B183" i="28"/>
  <c r="B184" i="28" s="1"/>
  <c r="B185" i="28" s="1"/>
  <c r="B186" i="28" s="1"/>
  <c r="B187" i="28" s="1"/>
  <c r="B188" i="28" s="1"/>
  <c r="B190" i="28" s="1"/>
  <c r="B38" i="27" l="1"/>
  <c r="B191" i="28"/>
  <c r="B192" i="28" s="1"/>
  <c r="B193" i="28" s="1"/>
  <c r="B194" i="28" s="1"/>
  <c r="B195" i="28" s="1"/>
  <c r="B196" i="28" s="1"/>
  <c r="B198" i="28" s="1"/>
  <c r="B39" i="27" l="1"/>
  <c r="B199" i="28"/>
  <c r="B200" i="28" s="1"/>
  <c r="B201" i="28" s="1"/>
  <c r="B202" i="28" s="1"/>
  <c r="B203" i="28" s="1"/>
  <c r="B204" i="28" s="1"/>
  <c r="B206" i="28" s="1"/>
  <c r="B40" i="27" l="1"/>
  <c r="B207" i="28"/>
  <c r="B208" i="28" s="1"/>
  <c r="B209" i="28" s="1"/>
  <c r="B210" i="28" s="1"/>
  <c r="B211" i="28" s="1"/>
  <c r="B212" i="28" s="1"/>
  <c r="B214" i="28" s="1"/>
  <c r="B215" i="28" l="1"/>
  <c r="B216" i="28" s="1"/>
  <c r="B217" i="28" s="1"/>
  <c r="B218" i="28" s="1"/>
  <c r="B219" i="28" s="1"/>
  <c r="B220" i="28" s="1"/>
  <c r="B222" i="28" s="1"/>
  <c r="B41" i="27"/>
  <c r="B223" i="28" l="1"/>
  <c r="B224" i="28" s="1"/>
  <c r="B225" i="28" s="1"/>
  <c r="B226" i="28" s="1"/>
  <c r="B227" i="28" s="1"/>
  <c r="B228" i="28" s="1"/>
  <c r="B230" i="28" s="1"/>
  <c r="B42" i="27"/>
  <c r="B231" i="28" l="1"/>
  <c r="B232" i="28" s="1"/>
  <c r="B233" i="28" s="1"/>
  <c r="B234" i="28" s="1"/>
  <c r="B235" i="28" s="1"/>
  <c r="B236" i="28" s="1"/>
  <c r="B238" i="28" s="1"/>
  <c r="B43" i="27"/>
  <c r="B239" i="28" l="1"/>
  <c r="B240" i="28" s="1"/>
  <c r="B241" i="28" s="1"/>
  <c r="B242" i="28" s="1"/>
  <c r="B243" i="28" s="1"/>
  <c r="B244" i="28" s="1"/>
  <c r="B246" i="28" s="1"/>
  <c r="B44" i="27"/>
  <c r="B247" i="28" l="1"/>
  <c r="B248" i="28" s="1"/>
  <c r="B249" i="28" s="1"/>
  <c r="B250" i="28" s="1"/>
  <c r="B251" i="28" s="1"/>
  <c r="B252" i="28" s="1"/>
  <c r="B254" i="28" s="1"/>
  <c r="B45" i="27"/>
  <c r="B255" i="28" l="1"/>
  <c r="B256" i="28" s="1"/>
  <c r="B257" i="28" s="1"/>
  <c r="B258" i="28" s="1"/>
  <c r="B259" i="28" s="1"/>
  <c r="B260" i="28" s="1"/>
  <c r="B262" i="28" s="1"/>
  <c r="B46" i="27"/>
  <c r="B263" i="28" l="1"/>
  <c r="B264" i="28" s="1"/>
  <c r="B265" i="28" s="1"/>
  <c r="B266" i="28" s="1"/>
  <c r="B267" i="28" s="1"/>
  <c r="B268" i="28" s="1"/>
  <c r="B270" i="28" s="1"/>
  <c r="B47" i="27"/>
  <c r="B271" i="28" l="1"/>
  <c r="B272" i="28" s="1"/>
  <c r="B273" i="28" s="1"/>
  <c r="B274" i="28" s="1"/>
  <c r="B275" i="28" s="1"/>
  <c r="B276" i="28" s="1"/>
  <c r="B278" i="28" s="1"/>
  <c r="B48" i="27"/>
  <c r="B279" i="28" l="1"/>
  <c r="B280" i="28" s="1"/>
  <c r="B281" i="28" s="1"/>
  <c r="B282" i="28" s="1"/>
  <c r="B283" i="28" s="1"/>
  <c r="B284" i="28" s="1"/>
  <c r="B286" i="28" s="1"/>
  <c r="B49" i="27"/>
  <c r="B287" i="28" l="1"/>
  <c r="B288" i="28" s="1"/>
  <c r="B289" i="28" s="1"/>
  <c r="B290" i="28" s="1"/>
  <c r="B291" i="28" s="1"/>
  <c r="B292" i="28" s="1"/>
  <c r="B294" i="28" s="1"/>
  <c r="B50" i="27"/>
  <c r="B295" i="28" l="1"/>
  <c r="B296" i="28" s="1"/>
  <c r="B297" i="28" s="1"/>
  <c r="B298" i="28" s="1"/>
  <c r="B299" i="28" s="1"/>
  <c r="B300" i="28" s="1"/>
  <c r="B302" i="28" s="1"/>
  <c r="B51" i="27"/>
  <c r="B303" i="28" l="1"/>
  <c r="B304" i="28" s="1"/>
  <c r="B305" i="28" s="1"/>
  <c r="B306" i="28" s="1"/>
  <c r="B307" i="28" s="1"/>
  <c r="B308" i="28" s="1"/>
  <c r="B310" i="28" s="1"/>
  <c r="B52" i="27"/>
  <c r="B311" i="28" l="1"/>
  <c r="B312" i="28" s="1"/>
  <c r="B313" i="28" s="1"/>
  <c r="B314" i="28" s="1"/>
  <c r="B315" i="28" s="1"/>
  <c r="B316" i="28" s="1"/>
  <c r="B318" i="28" s="1"/>
  <c r="B53" i="27"/>
  <c r="B319" i="28" l="1"/>
  <c r="B320" i="28" s="1"/>
  <c r="B321" i="28" s="1"/>
  <c r="B322" i="28" s="1"/>
  <c r="B323" i="28" s="1"/>
  <c r="B324" i="28" s="1"/>
  <c r="B326" i="28" s="1"/>
  <c r="B54" i="27"/>
  <c r="B327" i="28" l="1"/>
  <c r="B328" i="28" s="1"/>
  <c r="B329" i="28" s="1"/>
  <c r="B330" i="28" s="1"/>
  <c r="B331" i="28" s="1"/>
  <c r="B332" i="28" s="1"/>
  <c r="B334" i="28" s="1"/>
  <c r="B55" i="27"/>
  <c r="B335" i="28" l="1"/>
  <c r="B336" i="28" s="1"/>
  <c r="B337" i="28" s="1"/>
  <c r="B338" i="28" s="1"/>
  <c r="B339" i="28" s="1"/>
  <c r="B340" i="28" s="1"/>
  <c r="B342" i="28" s="1"/>
  <c r="B56" i="27"/>
  <c r="B343" i="28" l="1"/>
  <c r="B344" i="28" s="1"/>
  <c r="B345" i="28" s="1"/>
  <c r="B346" i="28" s="1"/>
  <c r="B347" i="28" s="1"/>
  <c r="B348" i="28" s="1"/>
  <c r="B350" i="28" s="1"/>
  <c r="B57" i="27"/>
  <c r="B58" i="27" l="1"/>
  <c r="B351" i="28"/>
  <c r="B352" i="28" s="1"/>
  <c r="B353" i="28" s="1"/>
  <c r="B354" i="28" s="1"/>
  <c r="B355" i="28" s="1"/>
  <c r="B356" i="28" s="1"/>
  <c r="B358" i="28" s="1"/>
  <c r="B359" i="28" l="1"/>
  <c r="B360" i="28" s="1"/>
  <c r="B361" i="28" s="1"/>
  <c r="B362" i="28" s="1"/>
  <c r="B363" i="28" s="1"/>
  <c r="B364" i="28" s="1"/>
  <c r="B366" i="28" s="1"/>
  <c r="B59" i="27"/>
  <c r="B367" i="28" l="1"/>
  <c r="B368" i="28" s="1"/>
  <c r="B369" i="28" s="1"/>
  <c r="B370" i="28" s="1"/>
  <c r="B371" i="28" s="1"/>
  <c r="B372" i="28" s="1"/>
  <c r="B374" i="28" s="1"/>
  <c r="B60" i="27"/>
  <c r="B61" i="27" l="1"/>
  <c r="B375" i="28"/>
  <c r="B376" i="28" s="1"/>
  <c r="B377" i="28" s="1"/>
  <c r="B378" i="28" s="1"/>
  <c r="B379" i="28" s="1"/>
  <c r="B380" i="28" s="1"/>
  <c r="B382" i="28" s="1"/>
  <c r="B383" i="28" l="1"/>
  <c r="B384" i="28" s="1"/>
  <c r="B385" i="28" s="1"/>
  <c r="B386" i="28" s="1"/>
  <c r="B387" i="28" s="1"/>
  <c r="B388" i="28" s="1"/>
  <c r="B390" i="28" s="1"/>
  <c r="B62" i="27"/>
  <c r="B391" i="28" l="1"/>
  <c r="B392" i="28" s="1"/>
  <c r="B393" i="28" s="1"/>
  <c r="B394" i="28" s="1"/>
  <c r="B395" i="28" s="1"/>
  <c r="B396" i="28" s="1"/>
  <c r="B398" i="28" s="1"/>
  <c r="B63" i="27"/>
  <c r="B399" i="28" l="1"/>
  <c r="B400" i="28" s="1"/>
  <c r="B401" i="28" s="1"/>
  <c r="B402" i="28" s="1"/>
  <c r="B403" i="28" s="1"/>
  <c r="B404" i="28" s="1"/>
  <c r="B406" i="28" s="1"/>
  <c r="B64" i="27"/>
  <c r="B407" i="28" l="1"/>
  <c r="B408" i="28" s="1"/>
  <c r="B409" i="28" s="1"/>
  <c r="B410" i="28" s="1"/>
  <c r="B411" i="28" s="1"/>
  <c r="B412" i="28" s="1"/>
  <c r="B414" i="28" s="1"/>
  <c r="B65" i="27"/>
  <c r="B415" i="28" l="1"/>
  <c r="B416" i="28" s="1"/>
  <c r="B417" i="28" s="1"/>
  <c r="B418" i="28" s="1"/>
  <c r="B419" i="28" s="1"/>
  <c r="B420" i="28" s="1"/>
  <c r="B422" i="28" s="1"/>
  <c r="B66" i="27"/>
  <c r="B423" i="28" l="1"/>
  <c r="B424" i="28" s="1"/>
  <c r="B425" i="28" s="1"/>
  <c r="B426" i="28" s="1"/>
  <c r="B427" i="28" s="1"/>
  <c r="B428" i="28" s="1"/>
  <c r="B430" i="28" s="1"/>
  <c r="B67" i="27"/>
  <c r="B431" i="28" l="1"/>
  <c r="B432" i="28" s="1"/>
  <c r="B433" i="28" s="1"/>
  <c r="B434" i="28" s="1"/>
  <c r="B435" i="28" s="1"/>
  <c r="B436" i="28" s="1"/>
  <c r="B438" i="28" s="1"/>
  <c r="B68" i="27"/>
  <c r="B439" i="28" l="1"/>
  <c r="B440" i="28" s="1"/>
  <c r="B441" i="28" s="1"/>
  <c r="B442" i="28" s="1"/>
  <c r="B443" i="28" s="1"/>
  <c r="B444" i="28" s="1"/>
  <c r="B446" i="28" s="1"/>
  <c r="B69" i="27"/>
  <c r="B447" i="28" l="1"/>
  <c r="B448" i="28" s="1"/>
  <c r="B449" i="28" s="1"/>
  <c r="B450" i="28" s="1"/>
  <c r="B451" i="28" s="1"/>
  <c r="B452" i="28" s="1"/>
  <c r="B454" i="28" s="1"/>
  <c r="B70" i="27"/>
  <c r="B455" i="28" l="1"/>
  <c r="B456" i="28" s="1"/>
  <c r="B457" i="28" s="1"/>
  <c r="B458" i="28" s="1"/>
  <c r="B459" i="28" s="1"/>
  <c r="B460" i="28" s="1"/>
  <c r="B462" i="28" s="1"/>
  <c r="B71" i="27"/>
  <c r="B463" i="28" l="1"/>
  <c r="B464" i="28" s="1"/>
  <c r="B465" i="28" s="1"/>
  <c r="B466" i="28" s="1"/>
  <c r="B467" i="28" s="1"/>
  <c r="B468" i="28" s="1"/>
  <c r="B470" i="28" s="1"/>
  <c r="B72" i="27"/>
  <c r="B73" i="27" l="1"/>
  <c r="B471" i="28"/>
  <c r="B472" i="28" s="1"/>
  <c r="B473" i="28" s="1"/>
  <c r="B474" i="28" s="1"/>
  <c r="B475" i="28" s="1"/>
  <c r="B476" i="28" s="1"/>
  <c r="B478" i="28" s="1"/>
  <c r="B479" i="28" l="1"/>
  <c r="B480" i="28" s="1"/>
  <c r="B481" i="28" s="1"/>
  <c r="B482" i="28" s="1"/>
  <c r="B483" i="28" s="1"/>
  <c r="B484" i="28" s="1"/>
  <c r="B486" i="28" s="1"/>
  <c r="B74" i="27"/>
  <c r="B487" i="28" l="1"/>
  <c r="B488" i="28" s="1"/>
  <c r="B489" i="28" s="1"/>
  <c r="B490" i="28" s="1"/>
  <c r="B491" i="28" s="1"/>
  <c r="B492" i="28" s="1"/>
  <c r="B494" i="28" s="1"/>
  <c r="B75" i="27"/>
  <c r="B495" i="28" l="1"/>
  <c r="B496" i="28" s="1"/>
  <c r="B497" i="28" s="1"/>
  <c r="B498" i="28" s="1"/>
  <c r="B499" i="28" s="1"/>
  <c r="B500" i="28" s="1"/>
  <c r="B502" i="28" s="1"/>
  <c r="B76" i="27"/>
  <c r="B503" i="28" l="1"/>
  <c r="B504" i="28" s="1"/>
  <c r="B505" i="28" s="1"/>
  <c r="B506" i="28" s="1"/>
  <c r="B507" i="28" s="1"/>
  <c r="B508" i="28" s="1"/>
  <c r="B510" i="28" s="1"/>
  <c r="B77" i="27"/>
  <c r="B511" i="28" l="1"/>
  <c r="B512" i="28" s="1"/>
  <c r="B513" i="28" s="1"/>
  <c r="B514" i="28" s="1"/>
  <c r="B515" i="28" s="1"/>
  <c r="B516" i="28" s="1"/>
  <c r="B518" i="28" s="1"/>
  <c r="B78" i="27"/>
  <c r="B519" i="28" l="1"/>
  <c r="B520" i="28" s="1"/>
  <c r="B521" i="28" s="1"/>
  <c r="B522" i="28" s="1"/>
  <c r="B523" i="28" s="1"/>
  <c r="B524" i="28" s="1"/>
  <c r="B526" i="28" s="1"/>
  <c r="B79" i="27"/>
  <c r="B527" i="28" l="1"/>
  <c r="B528" i="28" s="1"/>
  <c r="B529" i="28" s="1"/>
  <c r="B530" i="28" s="1"/>
  <c r="B531" i="28" s="1"/>
  <c r="B532" i="28" s="1"/>
  <c r="B534" i="28" s="1"/>
  <c r="B80" i="27"/>
  <c r="B535" i="28" l="1"/>
  <c r="B536" i="28" s="1"/>
  <c r="B537" i="28" s="1"/>
  <c r="B538" i="28" s="1"/>
  <c r="B539" i="28" s="1"/>
  <c r="B540" i="28" s="1"/>
  <c r="B542" i="28" s="1"/>
  <c r="B81" i="27"/>
  <c r="B543" i="28" l="1"/>
  <c r="B544" i="28" s="1"/>
  <c r="B545" i="28" s="1"/>
  <c r="B546" i="28" s="1"/>
  <c r="B547" i="28" s="1"/>
  <c r="B548" i="28" s="1"/>
  <c r="B550" i="28" s="1"/>
  <c r="B82" i="27"/>
  <c r="B551" i="28" l="1"/>
  <c r="B552" i="28" s="1"/>
  <c r="B553" i="28" s="1"/>
  <c r="B554" i="28" s="1"/>
  <c r="B555" i="28" s="1"/>
  <c r="B556" i="28" s="1"/>
  <c r="B558" i="28" s="1"/>
  <c r="B83" i="27"/>
  <c r="B559" i="28" l="1"/>
  <c r="B84" i="27"/>
  <c r="B560" i="28" l="1"/>
  <c r="B561" i="28" s="1"/>
  <c r="B562" i="28" s="1"/>
  <c r="B563" i="28" s="1"/>
  <c r="B564" i="28" s="1"/>
  <c r="B566" i="28" s="1"/>
  <c r="B567" i="28" l="1"/>
  <c r="B85" i="27"/>
  <c r="B568" i="28" l="1"/>
  <c r="B569" i="28" s="1"/>
  <c r="B570" i="28" s="1"/>
  <c r="B571" i="28" s="1"/>
  <c r="B572" i="28" s="1"/>
  <c r="B574" i="28" s="1"/>
  <c r="B575" i="28" l="1"/>
  <c r="B86" i="27"/>
  <c r="B576" i="28" l="1"/>
  <c r="B577" i="28" s="1"/>
  <c r="B578" i="28" s="1"/>
  <c r="B579" i="28" s="1"/>
  <c r="B580" i="28" s="1"/>
  <c r="B582" i="28" s="1"/>
  <c r="B583" i="28" l="1"/>
  <c r="B87" i="27"/>
  <c r="B584" i="28" l="1"/>
  <c r="B585" i="28" s="1"/>
  <c r="B586" i="28" s="1"/>
  <c r="B587" i="28" s="1"/>
  <c r="B588" i="28" s="1"/>
  <c r="B590" i="28" s="1"/>
  <c r="B591" i="28" l="1"/>
  <c r="B88" i="27"/>
  <c r="B592" i="28" l="1"/>
  <c r="B593" i="28" s="1"/>
  <c r="B594" i="28" s="1"/>
  <c r="B595" i="28" s="1"/>
  <c r="B596" i="28" s="1"/>
  <c r="AH71" i="27"/>
  <c r="AB56" i="27"/>
  <c r="AF56" i="27" s="1"/>
  <c r="C33" i="27"/>
  <c r="AH60" i="27"/>
  <c r="C53" i="27"/>
  <c r="C36" i="27"/>
  <c r="AD22" i="27"/>
  <c r="AB68" i="27"/>
  <c r="AF68" i="27" s="1"/>
  <c r="AH38" i="27"/>
  <c r="M78" i="27"/>
  <c r="C45" i="27"/>
  <c r="AH43" i="27"/>
  <c r="C37" i="27"/>
  <c r="AH24" i="27"/>
  <c r="C66" i="27"/>
  <c r="AD30" i="27"/>
  <c r="AH80" i="27"/>
  <c r="C16" i="27"/>
  <c r="M37" i="27"/>
  <c r="C26" i="27"/>
  <c r="AH88" i="27"/>
  <c r="C88" i="27"/>
  <c r="AB36" i="27"/>
  <c r="AF36" i="27" s="1"/>
  <c r="AB31" i="27"/>
  <c r="AF31" i="27" s="1"/>
  <c r="M77" i="27"/>
  <c r="AD70" i="27"/>
  <c r="AD86" i="27"/>
  <c r="AH77" i="27"/>
  <c r="C87" i="27"/>
  <c r="M26" i="27"/>
  <c r="AB30" i="27"/>
  <c r="AF30" i="27" s="1"/>
  <c r="AB72" i="27"/>
  <c r="AF72" i="27" s="1"/>
  <c r="M67" i="27"/>
  <c r="AB24" i="27"/>
  <c r="AF24" i="27" s="1"/>
  <c r="C55" i="27"/>
  <c r="AH50" i="27"/>
  <c r="AD50" i="27"/>
  <c r="AB32" i="27"/>
  <c r="AF32" i="27" s="1"/>
  <c r="AB76" i="27"/>
  <c r="AF76" i="27" s="1"/>
  <c r="AH48" i="27"/>
  <c r="M86" i="27"/>
  <c r="O86" i="27" s="1"/>
  <c r="AH19" i="27"/>
  <c r="AB17" i="27"/>
  <c r="AB16" i="27"/>
  <c r="AF16" i="27" s="1"/>
  <c r="AB48" i="27"/>
  <c r="AF48" i="27" s="1"/>
  <c r="AB74" i="27"/>
  <c r="AF74" i="27" s="1"/>
  <c r="M27" i="27"/>
  <c r="M53" i="27"/>
  <c r="AD16" i="27"/>
  <c r="AH17" i="27"/>
  <c r="AB53" i="27"/>
  <c r="AF53" i="27" s="1"/>
  <c r="AD68" i="27"/>
  <c r="M23" i="27"/>
  <c r="AB50" i="27"/>
  <c r="AF50" i="27" s="1"/>
  <c r="AH66" i="27"/>
  <c r="AH20" i="27"/>
  <c r="M46" i="27"/>
  <c r="AD37" i="27"/>
  <c r="AD20" i="27"/>
  <c r="AD43" i="27"/>
  <c r="AH46" i="27"/>
  <c r="AB70" i="27"/>
  <c r="AF70" i="27" s="1"/>
  <c r="C46" i="27"/>
  <c r="C81" i="27"/>
  <c r="AH36" i="27"/>
  <c r="AD88" i="27"/>
  <c r="M38" i="27"/>
  <c r="AD63" i="27"/>
  <c r="M17" i="27"/>
  <c r="AD28" i="27"/>
  <c r="M34" i="27"/>
  <c r="M48" i="27"/>
  <c r="AD26" i="27"/>
  <c r="AB81" i="27"/>
  <c r="AF81" i="27" s="1"/>
  <c r="AD42" i="27"/>
  <c r="AH78" i="27"/>
  <c r="AD72" i="27"/>
  <c r="AH72" i="27"/>
  <c r="AB46" i="27"/>
  <c r="AF46" i="27" s="1"/>
  <c r="C50" i="27"/>
  <c r="M29" i="27"/>
  <c r="C52" i="27"/>
  <c r="M40" i="27"/>
  <c r="AH82" i="27"/>
  <c r="C15" i="27"/>
  <c r="M73" i="27"/>
  <c r="M25" i="27"/>
  <c r="AD24" i="27"/>
  <c r="AD74" i="27"/>
  <c r="AH69" i="27"/>
  <c r="M63" i="27"/>
  <c r="AB43" i="27"/>
  <c r="AF43" i="27" s="1"/>
  <c r="AH16" i="27"/>
  <c r="M58" i="27"/>
  <c r="M42" i="27"/>
  <c r="AH54" i="27"/>
  <c r="AB35" i="27"/>
  <c r="AF35" i="27" s="1"/>
  <c r="AH32" i="27"/>
  <c r="C69" i="27"/>
  <c r="C23" i="27"/>
  <c r="AD80" i="27"/>
  <c r="AB21" i="27"/>
  <c r="AF21" i="27" s="1"/>
  <c r="AH55" i="27"/>
  <c r="AB25" i="27"/>
  <c r="AF25" i="27" s="1"/>
  <c r="AD60" i="27"/>
  <c r="AB19" i="27"/>
  <c r="M60" i="27"/>
  <c r="AB29" i="27"/>
  <c r="AF29" i="27" s="1"/>
  <c r="AH53" i="27"/>
  <c r="AB80" i="27"/>
  <c r="AF80" i="27" s="1"/>
  <c r="AD45" i="27"/>
  <c r="AB66" i="27"/>
  <c r="AF66" i="27" s="1"/>
  <c r="AH74" i="27"/>
  <c r="AD55" i="27"/>
  <c r="AB78" i="27"/>
  <c r="AF78" i="27" s="1"/>
  <c r="AB51" i="27"/>
  <c r="AF51" i="27" s="1"/>
  <c r="AD32" i="27"/>
  <c r="AH52" i="27"/>
  <c r="M71" i="27"/>
  <c r="AH22" i="27"/>
  <c r="AB15" i="27"/>
  <c r="AF15" i="27" s="1"/>
  <c r="AH44" i="27"/>
  <c r="AD75" i="27"/>
  <c r="C67" i="27"/>
  <c r="AD25" i="27"/>
  <c r="AD27" i="27"/>
  <c r="AH41" i="27"/>
  <c r="AH61" i="27"/>
  <c r="C85" i="27"/>
  <c r="AD66" i="27"/>
  <c r="AH57" i="27"/>
  <c r="AD48" i="27"/>
  <c r="C61" i="27"/>
  <c r="AH40" i="27"/>
  <c r="C25" i="27"/>
  <c r="AH23" i="27"/>
  <c r="M19" i="27"/>
  <c r="C21" i="27"/>
  <c r="AH86" i="27"/>
  <c r="AB18" i="27"/>
  <c r="AD52" i="27"/>
  <c r="AD62" i="27"/>
  <c r="AB27" i="27"/>
  <c r="AF27" i="27" s="1"/>
  <c r="C76" i="27"/>
  <c r="AH68" i="27"/>
  <c r="M75" i="27"/>
  <c r="AH87" i="27"/>
  <c r="AH85" i="27"/>
  <c r="AB61" i="27"/>
  <c r="AF61" i="27" s="1"/>
  <c r="C18" i="27"/>
  <c r="C82" i="27"/>
  <c r="AH56" i="27"/>
  <c r="AB58" i="27"/>
  <c r="AF58" i="27" s="1"/>
  <c r="M52" i="27"/>
  <c r="M22" i="27"/>
  <c r="C68" i="27"/>
  <c r="AB82" i="27"/>
  <c r="AF82" i="27" s="1"/>
  <c r="C78" i="27"/>
  <c r="C62" i="27"/>
  <c r="M51" i="27"/>
  <c r="C27" i="27"/>
  <c r="M24" i="27"/>
  <c r="AH29" i="27"/>
  <c r="C74" i="27"/>
  <c r="AB83" i="27"/>
  <c r="AF83" i="27" s="1"/>
  <c r="AB62" i="27"/>
  <c r="AF62" i="27" s="1"/>
  <c r="M20" i="27"/>
  <c r="AD19" i="27"/>
  <c r="C22" i="27"/>
  <c r="M72" i="27"/>
  <c r="AB20" i="27"/>
  <c r="AF20" i="27" s="1"/>
  <c r="AH59" i="27"/>
  <c r="AB84" i="27"/>
  <c r="AF84" i="27" s="1"/>
  <c r="AH31" i="27"/>
  <c r="AB55" i="27"/>
  <c r="AF55" i="27" s="1"/>
  <c r="M54" i="27"/>
  <c r="M15" i="27"/>
  <c r="O15" i="27" s="1"/>
  <c r="Q15" i="27" s="1"/>
  <c r="M21" i="27"/>
  <c r="C75" i="27"/>
  <c r="AD65" i="27"/>
  <c r="AD44" i="27"/>
  <c r="AD38" i="27"/>
  <c r="AD71" i="27"/>
  <c r="M79" i="27"/>
  <c r="AB71" i="27"/>
  <c r="AF71" i="27" s="1"/>
  <c r="AD81" i="27"/>
  <c r="AB59" i="27"/>
  <c r="AF59" i="27" s="1"/>
  <c r="AB65" i="27"/>
  <c r="AF65" i="27" s="1"/>
  <c r="C49" i="27"/>
  <c r="AD18" i="27"/>
  <c r="AH84" i="27"/>
  <c r="C65" i="27"/>
  <c r="AH39" i="27"/>
  <c r="AH27" i="27"/>
  <c r="AB85" i="27"/>
  <c r="AF85" i="27" s="1"/>
  <c r="AB88" i="27"/>
  <c r="AF88" i="27" s="1"/>
  <c r="C80" i="27"/>
  <c r="AD15" i="27"/>
  <c r="M87" i="27"/>
  <c r="O87" i="27" s="1"/>
  <c r="AH42" i="27"/>
  <c r="AB73" i="27"/>
  <c r="AF73" i="27" s="1"/>
  <c r="AD39" i="27"/>
  <c r="AD67" i="27"/>
  <c r="M76" i="27"/>
  <c r="AH28" i="27"/>
  <c r="C39" i="27"/>
  <c r="AD46" i="27"/>
  <c r="AD83" i="27"/>
  <c r="C60" i="27"/>
  <c r="C51" i="27"/>
  <c r="C54" i="27"/>
  <c r="AB45" i="27"/>
  <c r="AF45" i="27" s="1"/>
  <c r="M55" i="27"/>
  <c r="AD21" i="27"/>
  <c r="AB42" i="27"/>
  <c r="AF42" i="27" s="1"/>
  <c r="AD54" i="27"/>
  <c r="M61" i="27"/>
  <c r="M50" i="27"/>
  <c r="AH33" i="27"/>
  <c r="C17" i="27"/>
  <c r="AD73" i="27"/>
  <c r="AB52" i="27"/>
  <c r="AF52" i="27" s="1"/>
  <c r="AD36" i="27"/>
  <c r="AB34" i="27"/>
  <c r="AF34" i="27" s="1"/>
  <c r="AD56" i="27"/>
  <c r="AD79" i="27"/>
  <c r="AB44" i="27"/>
  <c r="AF44" i="27" s="1"/>
  <c r="AB87" i="27"/>
  <c r="AF87" i="27" s="1"/>
  <c r="AD78" i="27"/>
  <c r="AH21" i="27"/>
  <c r="M44" i="27"/>
  <c r="M65" i="27"/>
  <c r="C83" i="27"/>
  <c r="AD23" i="27"/>
  <c r="AH37" i="27"/>
  <c r="AD31" i="27"/>
  <c r="AD29" i="27"/>
  <c r="C86" i="27"/>
  <c r="AD87" i="27"/>
  <c r="AD35" i="27"/>
  <c r="AB39" i="27"/>
  <c r="AF39" i="27" s="1"/>
  <c r="AD53" i="27"/>
  <c r="AD34" i="27"/>
  <c r="AD85" i="27"/>
  <c r="M64" i="27"/>
  <c r="C24" i="27"/>
  <c r="M80" i="27"/>
  <c r="AD69" i="27"/>
  <c r="AB79" i="27"/>
  <c r="AF79" i="27" s="1"/>
  <c r="AB67" i="27"/>
  <c r="AF67" i="27" s="1"/>
  <c r="AB33" i="27"/>
  <c r="AF33" i="27" s="1"/>
  <c r="C31" i="27"/>
  <c r="C34" i="27"/>
  <c r="AH47" i="27"/>
  <c r="AH63" i="27"/>
  <c r="C56" i="27"/>
  <c r="C71" i="27"/>
  <c r="AB57" i="27"/>
  <c r="AF57" i="27" s="1"/>
  <c r="C84" i="27"/>
  <c r="AH58" i="27"/>
  <c r="AD64" i="27"/>
  <c r="C59" i="27"/>
  <c r="AH79" i="27"/>
  <c r="M35" i="27"/>
  <c r="AB49" i="27"/>
  <c r="AF49" i="27" s="1"/>
  <c r="M68" i="27"/>
  <c r="C29" i="27"/>
  <c r="M56" i="27"/>
  <c r="AD61" i="27"/>
  <c r="C47" i="27"/>
  <c r="AD59" i="27"/>
  <c r="AB63" i="27"/>
  <c r="AF63" i="27" s="1"/>
  <c r="AB77" i="27"/>
  <c r="AF77" i="27" s="1"/>
  <c r="AB75" i="27"/>
  <c r="AF75" i="27" s="1"/>
  <c r="AB26" i="27"/>
  <c r="AF26" i="27" s="1"/>
  <c r="C38" i="27"/>
  <c r="AD17" i="27"/>
  <c r="M43" i="27"/>
  <c r="C28" i="27"/>
  <c r="C58" i="27"/>
  <c r="AD47" i="27"/>
  <c r="M74" i="27"/>
  <c r="M57" i="27"/>
  <c r="C43" i="27"/>
  <c r="C40" i="27"/>
  <c r="AH62" i="27"/>
  <c r="AH70" i="27"/>
  <c r="AB54" i="27"/>
  <c r="AF54" i="27" s="1"/>
  <c r="C42" i="27"/>
  <c r="M36" i="27"/>
  <c r="AH34" i="27"/>
  <c r="AB28" i="27"/>
  <c r="AF28" i="27" s="1"/>
  <c r="AB69" i="27"/>
  <c r="AF69" i="27" s="1"/>
  <c r="C63" i="27"/>
  <c r="C70" i="27"/>
  <c r="C41" i="27"/>
  <c r="AB86" i="27"/>
  <c r="AF86" i="27" s="1"/>
  <c r="M69" i="27"/>
  <c r="AB37" i="27"/>
  <c r="AF37" i="27" s="1"/>
  <c r="M18" i="27"/>
  <c r="M41" i="27"/>
  <c r="AD51" i="27"/>
  <c r="M88" i="27"/>
  <c r="O88" i="27" s="1"/>
  <c r="AD40" i="27"/>
  <c r="AB60" i="27"/>
  <c r="AF60" i="27" s="1"/>
  <c r="AD84" i="27"/>
  <c r="AD82" i="27"/>
  <c r="AB64" i="27"/>
  <c r="AF64" i="27" s="1"/>
  <c r="C19" i="27" l="1"/>
  <c r="AH30" i="27"/>
  <c r="AN20" i="40" s="1"/>
  <c r="AL20" i="40" s="1"/>
  <c r="AF18" i="27"/>
  <c r="AF17" i="27"/>
  <c r="AF19" i="27"/>
  <c r="M83" i="27"/>
  <c r="M82" i="27"/>
  <c r="AD58" i="27"/>
  <c r="AH73" i="27"/>
  <c r="B77" i="66" s="1"/>
  <c r="M85" i="27"/>
  <c r="AH83" i="27"/>
  <c r="AN73" i="40" s="1"/>
  <c r="AL73" i="40" s="1"/>
  <c r="AD57" i="27"/>
  <c r="M81" i="27"/>
  <c r="AJ71" i="40" s="1"/>
  <c r="M39" i="27"/>
  <c r="AH67" i="27"/>
  <c r="AN57" i="40" s="1"/>
  <c r="AL57" i="40" s="1"/>
  <c r="M47" i="27"/>
  <c r="E51" i="66" s="1"/>
  <c r="C64" i="27"/>
  <c r="C35" i="27"/>
  <c r="C79" i="27"/>
  <c r="AB23" i="27"/>
  <c r="AF23" i="27" s="1"/>
  <c r="AD41" i="27"/>
  <c r="AH64" i="27"/>
  <c r="B68" i="66" s="1"/>
  <c r="AH75" i="27"/>
  <c r="AN65" i="40" s="1"/>
  <c r="AL65" i="40" s="1"/>
  <c r="C72" i="27"/>
  <c r="AH45" i="27"/>
  <c r="B49" i="66" s="1"/>
  <c r="AB22" i="27"/>
  <c r="AF22" i="27" s="1"/>
  <c r="C77" i="27"/>
  <c r="AB41" i="27"/>
  <c r="AF41" i="27" s="1"/>
  <c r="AB40" i="27"/>
  <c r="AF40" i="27" s="1"/>
  <c r="C57" i="27"/>
  <c r="AD33" i="27"/>
  <c r="M62" i="27"/>
  <c r="AH65" i="27"/>
  <c r="AN55" i="40" s="1"/>
  <c r="AL55" i="40" s="1"/>
  <c r="C44" i="27"/>
  <c r="B38" i="66"/>
  <c r="AN24" i="40"/>
  <c r="AL24" i="40" s="1"/>
  <c r="B74" i="66"/>
  <c r="AN60" i="40"/>
  <c r="AL60" i="40" s="1"/>
  <c r="B83" i="66"/>
  <c r="AN69" i="40"/>
  <c r="AL69" i="40" s="1"/>
  <c r="B67" i="66"/>
  <c r="AN53" i="40"/>
  <c r="AL53" i="40" s="1"/>
  <c r="B41" i="66"/>
  <c r="AN27" i="40"/>
  <c r="AL27" i="40" s="1"/>
  <c r="B37" i="66"/>
  <c r="AN23" i="40"/>
  <c r="AL23" i="40" s="1"/>
  <c r="B88" i="66"/>
  <c r="AN74" i="40"/>
  <c r="AL74" i="40" s="1"/>
  <c r="B33" i="66"/>
  <c r="AN19" i="40"/>
  <c r="AL19" i="40" s="1"/>
  <c r="B91" i="66"/>
  <c r="AN77" i="40"/>
  <c r="AL77" i="40" s="1"/>
  <c r="B90" i="66"/>
  <c r="AN76" i="40"/>
  <c r="AL76" i="40" s="1"/>
  <c r="B61" i="66"/>
  <c r="AN47" i="40"/>
  <c r="AL47" i="40" s="1"/>
  <c r="B45" i="66"/>
  <c r="AN31" i="40"/>
  <c r="AL31" i="40" s="1"/>
  <c r="B59" i="66"/>
  <c r="AN45" i="40"/>
  <c r="AL45" i="40" s="1"/>
  <c r="B70" i="66"/>
  <c r="AN56" i="40"/>
  <c r="AL56" i="40" s="1"/>
  <c r="B54" i="66"/>
  <c r="AN40" i="40"/>
  <c r="AL40" i="40" s="1"/>
  <c r="B51" i="66"/>
  <c r="AN37" i="40"/>
  <c r="AL37" i="40" s="1"/>
  <c r="B31" i="66"/>
  <c r="AN17" i="40"/>
  <c r="AL17" i="40" s="1"/>
  <c r="B35" i="66"/>
  <c r="AN21" i="40"/>
  <c r="AL21" i="40" s="1"/>
  <c r="B48" i="66"/>
  <c r="AN34" i="40"/>
  <c r="AL34" i="40" s="1"/>
  <c r="B36" i="66"/>
  <c r="AN22" i="40"/>
  <c r="AL22" i="40" s="1"/>
  <c r="B23" i="66"/>
  <c r="AN9" i="40"/>
  <c r="AL9" i="40" s="1"/>
  <c r="B62" i="66"/>
  <c r="AN48" i="40"/>
  <c r="AL48" i="40" s="1"/>
  <c r="B46" i="66"/>
  <c r="AN32" i="40"/>
  <c r="AL32" i="40" s="1"/>
  <c r="B63" i="66"/>
  <c r="AN49" i="40"/>
  <c r="AL49" i="40" s="1"/>
  <c r="B60" i="66"/>
  <c r="AN46" i="40"/>
  <c r="AL46" i="40" s="1"/>
  <c r="B89" i="66"/>
  <c r="AN75" i="40"/>
  <c r="AL75" i="40" s="1"/>
  <c r="B27" i="66"/>
  <c r="AN13" i="40"/>
  <c r="AL13" i="40" s="1"/>
  <c r="B65" i="66"/>
  <c r="AN51" i="40"/>
  <c r="AL51" i="40" s="1"/>
  <c r="B26" i="66"/>
  <c r="AN12" i="40"/>
  <c r="AL12" i="40" s="1"/>
  <c r="B58" i="66"/>
  <c r="AN44" i="40"/>
  <c r="AL44" i="40" s="1"/>
  <c r="B86" i="66"/>
  <c r="AN72" i="40"/>
  <c r="AL72" i="40" s="1"/>
  <c r="B82" i="66"/>
  <c r="AN68" i="40"/>
  <c r="AL68" i="40" s="1"/>
  <c r="B24" i="66"/>
  <c r="AN10" i="40"/>
  <c r="AL10" i="40" s="1"/>
  <c r="B52" i="66"/>
  <c r="AN38" i="40"/>
  <c r="AL38" i="40" s="1"/>
  <c r="B81" i="66"/>
  <c r="AN67" i="40"/>
  <c r="AL67" i="40" s="1"/>
  <c r="B84" i="66"/>
  <c r="AN70" i="40"/>
  <c r="AL70" i="40" s="1"/>
  <c r="B42" i="66"/>
  <c r="AN28" i="40"/>
  <c r="AL28" i="40" s="1"/>
  <c r="B75" i="66"/>
  <c r="AN61" i="40"/>
  <c r="AL61" i="40" s="1"/>
  <c r="B92" i="66"/>
  <c r="AN78" i="40"/>
  <c r="AL78" i="40" s="1"/>
  <c r="B66" i="66"/>
  <c r="AN52" i="40"/>
  <c r="AL52" i="40" s="1"/>
  <c r="B25" i="66"/>
  <c r="AN11" i="40"/>
  <c r="AL11" i="40" s="1"/>
  <c r="B44" i="66"/>
  <c r="AN30" i="40"/>
  <c r="AL30" i="40" s="1"/>
  <c r="B56" i="66"/>
  <c r="AN42" i="40"/>
  <c r="AL42" i="40" s="1"/>
  <c r="B73" i="66"/>
  <c r="AN59" i="40"/>
  <c r="AL59" i="40" s="1"/>
  <c r="B76" i="66"/>
  <c r="AN62" i="40"/>
  <c r="AL62" i="40" s="1"/>
  <c r="B21" i="66"/>
  <c r="AN7" i="40"/>
  <c r="AL7" i="40" s="1"/>
  <c r="B32" i="66"/>
  <c r="AN18" i="40"/>
  <c r="AL18" i="40" s="1"/>
  <c r="B43" i="66"/>
  <c r="AN29" i="40"/>
  <c r="AL29" i="40" s="1"/>
  <c r="B72" i="66"/>
  <c r="AN58" i="40"/>
  <c r="AL58" i="40" s="1"/>
  <c r="B78" i="66"/>
  <c r="AN64" i="40"/>
  <c r="AL64" i="40" s="1"/>
  <c r="B57" i="66"/>
  <c r="AN43" i="40"/>
  <c r="AL43" i="40" s="1"/>
  <c r="B20" i="66"/>
  <c r="AN6" i="40"/>
  <c r="AL6" i="40" s="1"/>
  <c r="B40" i="66"/>
  <c r="AN26" i="40"/>
  <c r="AL26" i="40" s="1"/>
  <c r="B50" i="66"/>
  <c r="AN36" i="40"/>
  <c r="AL36" i="40" s="1"/>
  <c r="D87" i="27"/>
  <c r="F87" i="27" s="1"/>
  <c r="B28" i="66"/>
  <c r="AN14" i="40"/>
  <c r="AL14" i="40" s="1"/>
  <c r="B47" i="66"/>
  <c r="AN33" i="40"/>
  <c r="AL33" i="40" s="1"/>
  <c r="B64" i="66"/>
  <c r="AN50" i="40"/>
  <c r="AL50" i="40" s="1"/>
  <c r="D85" i="27"/>
  <c r="F85" i="27" s="1"/>
  <c r="AH26" i="27"/>
  <c r="M84" i="27"/>
  <c r="C48" i="27"/>
  <c r="AH81" i="27"/>
  <c r="C32" i="27"/>
  <c r="M70" i="27"/>
  <c r="AH15" i="27"/>
  <c r="M49" i="27"/>
  <c r="AD76" i="27"/>
  <c r="AD77" i="27"/>
  <c r="AH76" i="27"/>
  <c r="M59" i="27"/>
  <c r="M16" i="27"/>
  <c r="C30" i="27"/>
  <c r="AH25" i="27"/>
  <c r="AH51" i="27"/>
  <c r="AH18" i="27"/>
  <c r="M28" i="27"/>
  <c r="C73" i="27"/>
  <c r="AD49" i="27"/>
  <c r="AB38" i="27"/>
  <c r="AF38" i="27" s="1"/>
  <c r="AB47" i="27"/>
  <c r="AF47" i="27" s="1"/>
  <c r="AH35" i="27"/>
  <c r="C20" i="27"/>
  <c r="AH49" i="27"/>
  <c r="M45" i="27"/>
  <c r="AJ31" i="40"/>
  <c r="E45" i="66"/>
  <c r="E59" i="66"/>
  <c r="AJ45" i="40"/>
  <c r="E19" i="66"/>
  <c r="E33" i="66"/>
  <c r="AJ19" i="40"/>
  <c r="AJ36" i="40"/>
  <c r="E50" i="66"/>
  <c r="D88" i="27"/>
  <c r="F88" i="27" s="1"/>
  <c r="AE88" i="27" s="1"/>
  <c r="F29" i="50"/>
  <c r="E92" i="66"/>
  <c r="AJ78" i="40"/>
  <c r="E84" i="66"/>
  <c r="AJ70" i="40"/>
  <c r="AJ34" i="40"/>
  <c r="E48" i="66"/>
  <c r="AS78" i="40"/>
  <c r="E91" i="66"/>
  <c r="AJ77" i="40"/>
  <c r="AJ59" i="40"/>
  <c r="E73" i="66"/>
  <c r="AJ26" i="40"/>
  <c r="E40" i="66"/>
  <c r="E78" i="66"/>
  <c r="AJ64" i="40"/>
  <c r="AJ33" i="40"/>
  <c r="E47" i="66"/>
  <c r="F20" i="50"/>
  <c r="AJ58" i="40"/>
  <c r="E72" i="66"/>
  <c r="F25" i="50"/>
  <c r="D86" i="27"/>
  <c r="F86" i="27" s="1"/>
  <c r="AE86" i="27" s="1"/>
  <c r="AJ40" i="40"/>
  <c r="E54" i="66"/>
  <c r="AJ11" i="40"/>
  <c r="E25" i="66"/>
  <c r="E76" i="66"/>
  <c r="AJ62" i="40"/>
  <c r="E28" i="66"/>
  <c r="AJ14" i="40"/>
  <c r="E56" i="66"/>
  <c r="AJ42" i="40"/>
  <c r="E79" i="66"/>
  <c r="AJ65" i="40"/>
  <c r="E62" i="66"/>
  <c r="AJ48" i="40"/>
  <c r="F23" i="50"/>
  <c r="AJ63" i="40"/>
  <c r="F26" i="50"/>
  <c r="E77" i="66"/>
  <c r="F16" i="50"/>
  <c r="E27" i="66"/>
  <c r="AJ13" i="40"/>
  <c r="AJ57" i="40"/>
  <c r="E71" i="66"/>
  <c r="AJ8" i="40"/>
  <c r="F15" i="50"/>
  <c r="E22" i="66"/>
  <c r="AJ46" i="40"/>
  <c r="E60" i="66"/>
  <c r="E69" i="66"/>
  <c r="AJ55" i="40"/>
  <c r="E80" i="66"/>
  <c r="AJ66" i="40"/>
  <c r="E83" i="66"/>
  <c r="AJ69" i="40"/>
  <c r="AJ44" i="40"/>
  <c r="E58" i="66"/>
  <c r="AJ41" i="40"/>
  <c r="E55" i="66"/>
  <c r="E52" i="66"/>
  <c r="AJ38" i="40"/>
  <c r="F21" i="50"/>
  <c r="AJ43" i="40"/>
  <c r="E57" i="66"/>
  <c r="F22" i="50"/>
  <c r="AJ16" i="40"/>
  <c r="E30" i="66"/>
  <c r="E41" i="66"/>
  <c r="AJ27" i="40"/>
  <c r="AJ54" i="40"/>
  <c r="E68" i="66"/>
  <c r="AJ51" i="40"/>
  <c r="E65" i="66"/>
  <c r="E23" i="66"/>
  <c r="AJ9" i="40"/>
  <c r="AJ7" i="40"/>
  <c r="E21" i="66"/>
  <c r="AJ25" i="40"/>
  <c r="E39" i="66"/>
  <c r="AJ47" i="40"/>
  <c r="E61" i="66"/>
  <c r="E24" i="66"/>
  <c r="AJ10" i="40"/>
  <c r="AJ12" i="40"/>
  <c r="E26" i="66"/>
  <c r="AJ61" i="40"/>
  <c r="E75" i="66"/>
  <c r="AJ50" i="40"/>
  <c r="E64" i="66"/>
  <c r="E46" i="66"/>
  <c r="AJ32" i="40"/>
  <c r="F24" i="50"/>
  <c r="AJ53" i="40"/>
  <c r="E67" i="66"/>
  <c r="E29" i="66"/>
  <c r="AJ15" i="40"/>
  <c r="AJ30" i="40"/>
  <c r="E44" i="66"/>
  <c r="E38" i="66"/>
  <c r="AJ24" i="40"/>
  <c r="AJ28" i="40"/>
  <c r="F19" i="50"/>
  <c r="E42" i="66"/>
  <c r="E31" i="66"/>
  <c r="AJ17" i="40"/>
  <c r="AS77" i="40"/>
  <c r="AJ76" i="40"/>
  <c r="E90" i="66"/>
  <c r="AJ67" i="40"/>
  <c r="E81" i="66"/>
  <c r="F27" i="50"/>
  <c r="AJ68" i="40"/>
  <c r="E82" i="66"/>
  <c r="M30" i="27"/>
  <c r="M31" i="27"/>
  <c r="M66" i="27"/>
  <c r="M32" i="27"/>
  <c r="M33" i="27"/>
  <c r="AE87" i="27" l="1"/>
  <c r="AP76" i="40" s="1"/>
  <c r="AE85" i="27"/>
  <c r="AP74" i="40" s="1"/>
  <c r="B34" i="66"/>
  <c r="E20" i="66"/>
  <c r="O16" i="27"/>
  <c r="AS7" i="40" s="1"/>
  <c r="E85" i="66"/>
  <c r="E63" i="66"/>
  <c r="E66" i="66"/>
  <c r="AJ37" i="40"/>
  <c r="AJ72" i="40"/>
  <c r="AJ39" i="40"/>
  <c r="AJ35" i="40"/>
  <c r="F17" i="50"/>
  <c r="AJ60" i="40"/>
  <c r="AJ29" i="40"/>
  <c r="O85" i="27"/>
  <c r="AS76" i="40" s="1"/>
  <c r="F28" i="50"/>
  <c r="B69" i="66"/>
  <c r="AJ73" i="40"/>
  <c r="AJ52" i="40"/>
  <c r="AN35" i="40"/>
  <c r="AL35" i="40" s="1"/>
  <c r="AN63" i="40"/>
  <c r="AL63" i="40" s="1"/>
  <c r="B71" i="66"/>
  <c r="B79" i="66"/>
  <c r="E86" i="66"/>
  <c r="B87" i="66"/>
  <c r="E87" i="66"/>
  <c r="AJ75" i="40"/>
  <c r="E89" i="66"/>
  <c r="E43" i="66"/>
  <c r="AN54" i="40"/>
  <c r="AL54" i="40" s="1"/>
  <c r="AP77" i="40"/>
  <c r="U88" i="27"/>
  <c r="AA88" i="27" s="1"/>
  <c r="U85" i="27"/>
  <c r="AA85" i="27" s="1"/>
  <c r="G85" i="27"/>
  <c r="AT76" i="40" s="1"/>
  <c r="AG85" i="27"/>
  <c r="AQ74" i="40" s="1"/>
  <c r="E85" i="27"/>
  <c r="D75" i="40" s="1"/>
  <c r="AC85" i="27"/>
  <c r="AO74" i="40" s="1"/>
  <c r="C89" i="66"/>
  <c r="AG87" i="27"/>
  <c r="AQ76" i="40" s="1"/>
  <c r="E53" i="66"/>
  <c r="Y87" i="27"/>
  <c r="E87" i="27"/>
  <c r="D77" i="40" s="1"/>
  <c r="Z87" i="27"/>
  <c r="AU78" i="40" s="1"/>
  <c r="G87" i="27"/>
  <c r="H87" i="27" s="1"/>
  <c r="U87" i="27"/>
  <c r="AA87" i="27" s="1"/>
  <c r="AC87" i="27"/>
  <c r="AO76" i="40" s="1"/>
  <c r="Z85" i="27"/>
  <c r="AU76" i="40" s="1"/>
  <c r="Y85" i="27"/>
  <c r="AJ49" i="40"/>
  <c r="AJ6" i="40"/>
  <c r="C91" i="66"/>
  <c r="E32" i="66"/>
  <c r="AJ18" i="40"/>
  <c r="AJ74" i="40"/>
  <c r="B39" i="66"/>
  <c r="AN25" i="40"/>
  <c r="AL25" i="40" s="1"/>
  <c r="B29" i="66"/>
  <c r="AN15" i="40"/>
  <c r="AL15" i="40" s="1"/>
  <c r="E88" i="66"/>
  <c r="B53" i="66"/>
  <c r="AN39" i="40"/>
  <c r="AL39" i="40" s="1"/>
  <c r="B22" i="66"/>
  <c r="AN8" i="40"/>
  <c r="AL8" i="40" s="1"/>
  <c r="B55" i="66"/>
  <c r="AN41" i="40"/>
  <c r="AL41" i="40" s="1"/>
  <c r="B85" i="66"/>
  <c r="AN71" i="40"/>
  <c r="AL71" i="40" s="1"/>
  <c r="B80" i="66"/>
  <c r="AN66" i="40"/>
  <c r="AL66" i="40" s="1"/>
  <c r="B30" i="66"/>
  <c r="AN16" i="40"/>
  <c r="AL16" i="40" s="1"/>
  <c r="D15" i="27"/>
  <c r="F15" i="27" s="1"/>
  <c r="E49" i="66"/>
  <c r="E74" i="66"/>
  <c r="Y88" i="27"/>
  <c r="K29" i="50" s="1"/>
  <c r="AG88" i="27"/>
  <c r="E88" i="27"/>
  <c r="AC88" i="27"/>
  <c r="AO77" i="40" s="1"/>
  <c r="C92" i="66"/>
  <c r="Z88" i="27"/>
  <c r="J29" i="50" s="1"/>
  <c r="G88" i="27"/>
  <c r="E70" i="66"/>
  <c r="AJ56" i="40"/>
  <c r="E86" i="27"/>
  <c r="D76" i="40" s="1"/>
  <c r="C90" i="66"/>
  <c r="Y86" i="27"/>
  <c r="U86" i="27"/>
  <c r="AA86" i="27" s="1"/>
  <c r="Z86" i="27"/>
  <c r="AU77" i="40" s="1"/>
  <c r="AG86" i="27"/>
  <c r="AQ75" i="40" s="1"/>
  <c r="AC86" i="27"/>
  <c r="AO75" i="40" s="1"/>
  <c r="AP75" i="40"/>
  <c r="G86" i="27"/>
  <c r="E35" i="66"/>
  <c r="AJ21" i="40"/>
  <c r="F18" i="50"/>
  <c r="E37" i="66"/>
  <c r="AJ23" i="40"/>
  <c r="AJ20" i="40"/>
  <c r="E34" i="66"/>
  <c r="AJ22" i="40"/>
  <c r="E36" i="66"/>
  <c r="AS6" i="40"/>
  <c r="AE15" i="27" l="1"/>
  <c r="U15" i="27"/>
  <c r="W15" i="27" s="1"/>
  <c r="X15" i="27" s="1"/>
  <c r="J85" i="27"/>
  <c r="H85" i="27"/>
  <c r="T75" i="40" s="1"/>
  <c r="W85" i="27"/>
  <c r="X85" i="27" s="1"/>
  <c r="F89" i="66" s="1"/>
  <c r="W87" i="27"/>
  <c r="X87" i="27" s="1"/>
  <c r="F91" i="66" s="1"/>
  <c r="AT78" i="40"/>
  <c r="J87" i="27"/>
  <c r="C19" i="66"/>
  <c r="E15" i="27"/>
  <c r="Z15" i="27"/>
  <c r="AU6" i="40" s="1"/>
  <c r="G15" i="27"/>
  <c r="AT6" i="40" s="1"/>
  <c r="D16" i="27"/>
  <c r="D17" i="27" s="1"/>
  <c r="W88" i="27"/>
  <c r="X88" i="27" s="1"/>
  <c r="F92" i="66" s="1"/>
  <c r="T77" i="40"/>
  <c r="K87" i="27"/>
  <c r="W86" i="27"/>
  <c r="X86" i="27" s="1"/>
  <c r="F90" i="66" s="1"/>
  <c r="D78" i="40"/>
  <c r="B29" i="50"/>
  <c r="AT77" i="40"/>
  <c r="H86" i="27"/>
  <c r="J86" i="27"/>
  <c r="J88" i="27"/>
  <c r="H88" i="27"/>
  <c r="L29" i="50"/>
  <c r="AQ77" i="40"/>
  <c r="K85" i="27" l="1"/>
  <c r="AA15" i="27"/>
  <c r="F19" i="66"/>
  <c r="H15" i="27"/>
  <c r="AG15" i="27" s="1"/>
  <c r="AC15" i="27"/>
  <c r="J15" i="27"/>
  <c r="Y15" i="27" s="1"/>
  <c r="F16" i="27"/>
  <c r="K86" i="27"/>
  <c r="T76" i="40"/>
  <c r="C29" i="50"/>
  <c r="K88" i="27"/>
  <c r="D29" i="50" s="1"/>
  <c r="T78" i="40"/>
  <c r="D18" i="27"/>
  <c r="F17" i="27"/>
  <c r="U17" i="27" l="1"/>
  <c r="AA17" i="27" s="1"/>
  <c r="D90" i="66"/>
  <c r="E16" i="27"/>
  <c r="D6" i="40" s="1"/>
  <c r="U16" i="27"/>
  <c r="AA16" i="27" s="1"/>
  <c r="G16" i="27"/>
  <c r="J16" i="27" s="1"/>
  <c r="Y16" i="27" s="1"/>
  <c r="C20" i="66"/>
  <c r="K15" i="27"/>
  <c r="D19" i="66" s="1"/>
  <c r="D91" i="66"/>
  <c r="D92" i="66"/>
  <c r="D19" i="27"/>
  <c r="F18" i="27"/>
  <c r="G17" i="27"/>
  <c r="AE17" i="27" s="1"/>
  <c r="E17" i="27"/>
  <c r="D7" i="40" s="1"/>
  <c r="C21" i="66"/>
  <c r="AE16" i="27" l="1"/>
  <c r="AC17" i="27"/>
  <c r="AO6" i="40" s="1"/>
  <c r="W16" i="27"/>
  <c r="X16" i="27" s="1"/>
  <c r="F20" i="66" s="1"/>
  <c r="H16" i="27"/>
  <c r="AC16" i="27"/>
  <c r="AP6" i="40"/>
  <c r="C22" i="66"/>
  <c r="U18" i="27"/>
  <c r="AA18" i="27" s="1"/>
  <c r="G18" i="27"/>
  <c r="AE18" i="27" s="1"/>
  <c r="E18" i="27"/>
  <c r="J17" i="27"/>
  <c r="H17" i="27"/>
  <c r="D20" i="27"/>
  <c r="F19" i="27"/>
  <c r="T6" i="40" l="1"/>
  <c r="Q16" i="27"/>
  <c r="O17" i="27"/>
  <c r="AS8" i="40" s="1"/>
  <c r="AC18" i="27"/>
  <c r="AO7" i="40" s="1"/>
  <c r="W17" i="27"/>
  <c r="X17" i="27" s="1"/>
  <c r="F21" i="66" s="1"/>
  <c r="AG16" i="27"/>
  <c r="K16" i="27"/>
  <c r="D20" i="66" s="1"/>
  <c r="AP7" i="40"/>
  <c r="G19" i="27"/>
  <c r="AE19" i="27" s="1"/>
  <c r="U19" i="27"/>
  <c r="AA19" i="27" s="1"/>
  <c r="E19" i="27"/>
  <c r="D9" i="40" s="1"/>
  <c r="C23" i="66"/>
  <c r="K17" i="27"/>
  <c r="AG17" i="27"/>
  <c r="AQ6" i="40" s="1"/>
  <c r="T7" i="40"/>
  <c r="D21" i="27"/>
  <c r="F20" i="27"/>
  <c r="D8" i="40"/>
  <c r="B15" i="50"/>
  <c r="J18" i="27"/>
  <c r="H18" i="27"/>
  <c r="Z16" i="27" l="1"/>
  <c r="S16" i="27"/>
  <c r="AT7" i="40" s="1"/>
  <c r="O18" i="27"/>
  <c r="AS9" i="40" s="1"/>
  <c r="W18" i="27"/>
  <c r="X18" i="27" s="1"/>
  <c r="F22" i="66" s="1"/>
  <c r="Y17" i="27"/>
  <c r="D21" i="66"/>
  <c r="Q17" i="27"/>
  <c r="Q18" i="27" s="1"/>
  <c r="AP8" i="40"/>
  <c r="D22" i="27"/>
  <c r="F21" i="27"/>
  <c r="T8" i="40"/>
  <c r="C15" i="50"/>
  <c r="K18" i="27"/>
  <c r="AG18" i="27"/>
  <c r="U20" i="27"/>
  <c r="AA20" i="27" s="1"/>
  <c r="E20" i="27"/>
  <c r="D10" i="40" s="1"/>
  <c r="G20" i="27"/>
  <c r="AE20" i="27" s="1"/>
  <c r="C24" i="66"/>
  <c r="AC19" i="27"/>
  <c r="AO8" i="40" s="1"/>
  <c r="H19" i="27"/>
  <c r="O19" i="27" s="1"/>
  <c r="J19" i="27"/>
  <c r="Y18" i="27" l="1"/>
  <c r="K15" i="50" s="1"/>
  <c r="W19" i="27"/>
  <c r="X19" i="27" s="1"/>
  <c r="F23" i="66" s="1"/>
  <c r="S17" i="27"/>
  <c r="AT8" i="40" s="1"/>
  <c r="Z17" i="27"/>
  <c r="AG19" i="27"/>
  <c r="AQ8" i="40" s="1"/>
  <c r="AP9" i="40"/>
  <c r="L15" i="50"/>
  <c r="AQ7" i="40"/>
  <c r="AS10" i="40"/>
  <c r="K19" i="27"/>
  <c r="D23" i="66" s="1"/>
  <c r="T9" i="40"/>
  <c r="H20" i="27"/>
  <c r="O20" i="27" s="1"/>
  <c r="J20" i="27"/>
  <c r="D15" i="50"/>
  <c r="D22" i="66"/>
  <c r="AC20" i="27"/>
  <c r="H15" i="50"/>
  <c r="Z18" i="27"/>
  <c r="S18" i="27"/>
  <c r="AT9" i="40" s="1"/>
  <c r="E21" i="27"/>
  <c r="D11" i="40" s="1"/>
  <c r="C25" i="66"/>
  <c r="G21" i="27"/>
  <c r="AE21" i="27" s="1"/>
  <c r="U21" i="27"/>
  <c r="AA21" i="27" s="1"/>
  <c r="D23" i="27"/>
  <c r="F22" i="27"/>
  <c r="AP10" i="40" l="1"/>
  <c r="W20" i="27"/>
  <c r="X20" i="27" s="1"/>
  <c r="F24" i="66" s="1"/>
  <c r="Y19" i="27"/>
  <c r="J21" i="27"/>
  <c r="H21" i="27"/>
  <c r="O21" i="27" s="1"/>
  <c r="J15" i="50"/>
  <c r="AU9" i="40"/>
  <c r="AO9" i="40"/>
  <c r="AG20" i="27"/>
  <c r="AQ9" i="40" s="1"/>
  <c r="AS11" i="40"/>
  <c r="K20" i="27"/>
  <c r="D24" i="66" s="1"/>
  <c r="T10" i="40"/>
  <c r="D24" i="27"/>
  <c r="F23" i="27"/>
  <c r="AC21" i="27"/>
  <c r="AO10" i="40" s="1"/>
  <c r="C26" i="66"/>
  <c r="G22" i="27"/>
  <c r="AE22" i="27" s="1"/>
  <c r="U22" i="27"/>
  <c r="AA22" i="27" s="1"/>
  <c r="E22" i="27"/>
  <c r="D12" i="40" s="1"/>
  <c r="Q19" i="27"/>
  <c r="Y20" i="27" l="1"/>
  <c r="W21" i="27"/>
  <c r="X21" i="27" s="1"/>
  <c r="F25" i="66" s="1"/>
  <c r="AP11" i="40"/>
  <c r="D25" i="27"/>
  <c r="F24" i="27"/>
  <c r="AC22" i="27"/>
  <c r="AO11" i="40" s="1"/>
  <c r="Z19" i="27"/>
  <c r="AU10" i="40" s="1"/>
  <c r="S19" i="27"/>
  <c r="AT10" i="40" s="1"/>
  <c r="E23" i="27"/>
  <c r="U23" i="27"/>
  <c r="AA23" i="27" s="1"/>
  <c r="G23" i="27"/>
  <c r="AE23" i="27" s="1"/>
  <c r="C27" i="66"/>
  <c r="AS12" i="40"/>
  <c r="K21" i="27"/>
  <c r="D25" i="66" s="1"/>
  <c r="T11" i="40"/>
  <c r="J22" i="27"/>
  <c r="H22" i="27"/>
  <c r="O22" i="27" s="1"/>
  <c r="AG21" i="27"/>
  <c r="AQ10" i="40" s="1"/>
  <c r="Q20" i="27"/>
  <c r="AP12" i="40" l="1"/>
  <c r="Y21" i="27"/>
  <c r="W22" i="27"/>
  <c r="X22" i="27" s="1"/>
  <c r="F26" i="66" s="1"/>
  <c r="Q21" i="27"/>
  <c r="Z21" i="27" s="1"/>
  <c r="AU12" i="40" s="1"/>
  <c r="AG22" i="27"/>
  <c r="AQ11" i="40" s="1"/>
  <c r="J23" i="27"/>
  <c r="H23" i="27"/>
  <c r="O23" i="27" s="1"/>
  <c r="AS13" i="40"/>
  <c r="K22" i="27"/>
  <c r="D26" i="66" s="1"/>
  <c r="T12" i="40"/>
  <c r="AC23" i="27"/>
  <c r="AO12" i="40" s="1"/>
  <c r="B16" i="50"/>
  <c r="D13" i="40"/>
  <c r="Z20" i="27"/>
  <c r="AU11" i="40" s="1"/>
  <c r="S20" i="27"/>
  <c r="AT11" i="40" s="1"/>
  <c r="U24" i="27"/>
  <c r="AA24" i="27" s="1"/>
  <c r="C28" i="66"/>
  <c r="G24" i="27"/>
  <c r="AE24" i="27" s="1"/>
  <c r="E24" i="27"/>
  <c r="D14" i="40" s="1"/>
  <c r="D26" i="27"/>
  <c r="F25" i="27"/>
  <c r="W23" i="27" l="1"/>
  <c r="X23" i="27" s="1"/>
  <c r="F27" i="66" s="1"/>
  <c r="Y22" i="27"/>
  <c r="S21" i="27"/>
  <c r="AT12" i="40" s="1"/>
  <c r="J24" i="27"/>
  <c r="H24" i="27"/>
  <c r="O24" i="27" s="1"/>
  <c r="D27" i="27"/>
  <c r="F26" i="27"/>
  <c r="AP13" i="40"/>
  <c r="W24" i="27"/>
  <c r="X24" i="27" s="1"/>
  <c r="F28" i="66" s="1"/>
  <c r="Q22" i="27"/>
  <c r="AS14" i="40"/>
  <c r="K23" i="27"/>
  <c r="T13" i="40"/>
  <c r="C16" i="50"/>
  <c r="AC24" i="27"/>
  <c r="AO13" i="40" s="1"/>
  <c r="C29" i="66"/>
  <c r="G25" i="27"/>
  <c r="AE25" i="27" s="1"/>
  <c r="E25" i="27"/>
  <c r="D15" i="40" s="1"/>
  <c r="U25" i="27"/>
  <c r="AA25" i="27" s="1"/>
  <c r="AG23" i="27"/>
  <c r="Y23" i="27"/>
  <c r="K16" i="50" s="1"/>
  <c r="AP14" i="40" l="1"/>
  <c r="AG24" i="27"/>
  <c r="AQ13" i="40" s="1"/>
  <c r="Y24" i="27"/>
  <c r="H25" i="27"/>
  <c r="O25" i="27" s="1"/>
  <c r="J25" i="27"/>
  <c r="E26" i="27"/>
  <c r="D16" i="40" s="1"/>
  <c r="G26" i="27"/>
  <c r="AE26" i="27" s="1"/>
  <c r="C30" i="66"/>
  <c r="U26" i="27"/>
  <c r="AA26" i="27" s="1"/>
  <c r="AC25" i="27"/>
  <c r="AO14" i="40" s="1"/>
  <c r="D27" i="66"/>
  <c r="D16" i="50"/>
  <c r="W25" i="27"/>
  <c r="X25" i="27" s="1"/>
  <c r="F29" i="66" s="1"/>
  <c r="AS15" i="40"/>
  <c r="T14" i="40"/>
  <c r="K24" i="27"/>
  <c r="D28" i="66" s="1"/>
  <c r="D28" i="27"/>
  <c r="F27" i="27"/>
  <c r="AQ12" i="40"/>
  <c r="L16" i="50"/>
  <c r="Q23" i="27"/>
  <c r="S22" i="27"/>
  <c r="AT13" i="40" s="1"/>
  <c r="Z22" i="27"/>
  <c r="AU13" i="40" s="1"/>
  <c r="AG25" i="27" l="1"/>
  <c r="AQ14" i="40" s="1"/>
  <c r="J26" i="27"/>
  <c r="H26" i="27"/>
  <c r="O26" i="27" s="1"/>
  <c r="D29" i="27"/>
  <c r="F28" i="27"/>
  <c r="W26" i="27"/>
  <c r="X26" i="27" s="1"/>
  <c r="F30" i="66" s="1"/>
  <c r="Y25" i="27"/>
  <c r="AP15" i="40"/>
  <c r="Q24" i="27"/>
  <c r="H16" i="50"/>
  <c r="Z23" i="27"/>
  <c r="S23" i="27"/>
  <c r="AT14" i="40" s="1"/>
  <c r="E27" i="27"/>
  <c r="D17" i="40" s="1"/>
  <c r="U27" i="27"/>
  <c r="AA27" i="27" s="1"/>
  <c r="G27" i="27"/>
  <c r="AE27" i="27" s="1"/>
  <c r="C31" i="66"/>
  <c r="AC26" i="27"/>
  <c r="AO15" i="40" s="1"/>
  <c r="AS16" i="40"/>
  <c r="T15" i="40"/>
  <c r="K25" i="27"/>
  <c r="D29" i="66" s="1"/>
  <c r="AP16" i="40" l="1"/>
  <c r="H27" i="27"/>
  <c r="O27" i="27" s="1"/>
  <c r="J27" i="27"/>
  <c r="J16" i="50"/>
  <c r="AU14" i="40"/>
  <c r="G28" i="27"/>
  <c r="AE28" i="27" s="1"/>
  <c r="C32" i="66"/>
  <c r="E28" i="27"/>
  <c r="U28" i="27"/>
  <c r="AA28" i="27" s="1"/>
  <c r="W27" i="27"/>
  <c r="X27" i="27" s="1"/>
  <c r="F31" i="66" s="1"/>
  <c r="AC27" i="27"/>
  <c r="AO16" i="40" s="1"/>
  <c r="Q25" i="27"/>
  <c r="Z24" i="27"/>
  <c r="AU15" i="40" s="1"/>
  <c r="S24" i="27"/>
  <c r="AT15" i="40" s="1"/>
  <c r="AS17" i="40"/>
  <c r="K26" i="27"/>
  <c r="D30" i="66" s="1"/>
  <c r="T16" i="40"/>
  <c r="D30" i="27"/>
  <c r="F29" i="27"/>
  <c r="AG26" i="27"/>
  <c r="AQ15" i="40" s="1"/>
  <c r="Y26" i="27"/>
  <c r="AP17" i="40" l="1"/>
  <c r="AG27" i="27"/>
  <c r="AQ16" i="40" s="1"/>
  <c r="U29" i="27"/>
  <c r="AA29" i="27" s="1"/>
  <c r="G29" i="27"/>
  <c r="AE29" i="27" s="1"/>
  <c r="E29" i="27"/>
  <c r="D19" i="40" s="1"/>
  <c r="C33" i="66"/>
  <c r="D18" i="40"/>
  <c r="B17" i="50"/>
  <c r="D31" i="27"/>
  <c r="F30" i="27"/>
  <c r="J28" i="27"/>
  <c r="H28" i="27"/>
  <c r="O28" i="27" s="1"/>
  <c r="Y27" i="27"/>
  <c r="AC28" i="27"/>
  <c r="AO17" i="40" s="1"/>
  <c r="Q26" i="27"/>
  <c r="S25" i="27"/>
  <c r="AT16" i="40" s="1"/>
  <c r="Z25" i="27"/>
  <c r="AU16" i="40" s="1"/>
  <c r="W28" i="27"/>
  <c r="X28" i="27" s="1"/>
  <c r="F32" i="66" s="1"/>
  <c r="AS18" i="40"/>
  <c r="T17" i="40"/>
  <c r="K27" i="27"/>
  <c r="D31" i="66" s="1"/>
  <c r="AP18" i="40" l="1"/>
  <c r="D32" i="27"/>
  <c r="F31" i="27"/>
  <c r="Q27" i="27"/>
  <c r="S26" i="27"/>
  <c r="AT17" i="40" s="1"/>
  <c r="Z26" i="27"/>
  <c r="AU17" i="40" s="1"/>
  <c r="Y28" i="27"/>
  <c r="K17" i="50" s="1"/>
  <c r="H29" i="27"/>
  <c r="O29" i="27" s="1"/>
  <c r="J29" i="27"/>
  <c r="W29" i="27"/>
  <c r="X29" i="27" s="1"/>
  <c r="F33" i="66" s="1"/>
  <c r="G30" i="27"/>
  <c r="AE30" i="27" s="1"/>
  <c r="E30" i="27"/>
  <c r="D20" i="40" s="1"/>
  <c r="C34" i="66"/>
  <c r="U30" i="27"/>
  <c r="AA30" i="27" s="1"/>
  <c r="AC29" i="27"/>
  <c r="AO18" i="40" s="1"/>
  <c r="AS19" i="40"/>
  <c r="T18" i="40"/>
  <c r="C17" i="50"/>
  <c r="K28" i="27"/>
  <c r="AG28" i="27"/>
  <c r="AP19" i="40" l="1"/>
  <c r="Y29" i="27"/>
  <c r="H30" i="27"/>
  <c r="O30" i="27" s="1"/>
  <c r="J30" i="27"/>
  <c r="AS20" i="40"/>
  <c r="T19" i="40"/>
  <c r="K29" i="27"/>
  <c r="D33" i="66" s="1"/>
  <c r="Q28" i="27"/>
  <c r="Z27" i="27"/>
  <c r="AU18" i="40" s="1"/>
  <c r="S27" i="27"/>
  <c r="AT18" i="40" s="1"/>
  <c r="D32" i="66"/>
  <c r="D17" i="50"/>
  <c r="W30" i="27"/>
  <c r="X30" i="27" s="1"/>
  <c r="F34" i="66" s="1"/>
  <c r="C35" i="66"/>
  <c r="G31" i="27"/>
  <c r="AE31" i="27" s="1"/>
  <c r="E31" i="27"/>
  <c r="D21" i="40" s="1"/>
  <c r="U31" i="27"/>
  <c r="AA31" i="27" s="1"/>
  <c r="D33" i="27"/>
  <c r="F32" i="27"/>
  <c r="AQ17" i="40"/>
  <c r="L17" i="50"/>
  <c r="AC30" i="27"/>
  <c r="AO19" i="40" s="1"/>
  <c r="AG29" i="27"/>
  <c r="AQ18" i="40" s="1"/>
  <c r="AP20" i="40" l="1"/>
  <c r="H31" i="27"/>
  <c r="O31" i="27" s="1"/>
  <c r="J31" i="27"/>
  <c r="AG30" i="27"/>
  <c r="AQ19" i="40" s="1"/>
  <c r="D34" i="27"/>
  <c r="F33" i="27"/>
  <c r="AC31" i="27"/>
  <c r="AO20" i="40" s="1"/>
  <c r="Q29" i="27"/>
  <c r="H17" i="50"/>
  <c r="S28" i="27"/>
  <c r="AT19" i="40" s="1"/>
  <c r="Z28" i="27"/>
  <c r="Y30" i="27"/>
  <c r="W31" i="27"/>
  <c r="X31" i="27" s="1"/>
  <c r="F35" i="66" s="1"/>
  <c r="C36" i="66"/>
  <c r="G32" i="27"/>
  <c r="AE32" i="27" s="1"/>
  <c r="U32" i="27"/>
  <c r="AA32" i="27" s="1"/>
  <c r="E32" i="27"/>
  <c r="D22" i="40" s="1"/>
  <c r="AS21" i="40"/>
  <c r="K30" i="27"/>
  <c r="D34" i="66" s="1"/>
  <c r="T20" i="40"/>
  <c r="AP21" i="40" l="1"/>
  <c r="AG31" i="27"/>
  <c r="AQ20" i="40" s="1"/>
  <c r="D35" i="27"/>
  <c r="F34" i="27"/>
  <c r="J32" i="27"/>
  <c r="H32" i="27"/>
  <c r="O32" i="27" s="1"/>
  <c r="Q30" i="27"/>
  <c r="S29" i="27"/>
  <c r="AT20" i="40" s="1"/>
  <c r="Z29" i="27"/>
  <c r="AU20" i="40" s="1"/>
  <c r="J17" i="50"/>
  <c r="AU19" i="40"/>
  <c r="W32" i="27"/>
  <c r="X32" i="27" s="1"/>
  <c r="F36" i="66" s="1"/>
  <c r="AC32" i="27"/>
  <c r="AO21" i="40" s="1"/>
  <c r="Y31" i="27"/>
  <c r="G33" i="27"/>
  <c r="AE33" i="27" s="1"/>
  <c r="E33" i="27"/>
  <c r="U33" i="27"/>
  <c r="AA33" i="27" s="1"/>
  <c r="C37" i="66"/>
  <c r="AS22" i="40"/>
  <c r="T21" i="40"/>
  <c r="K31" i="27"/>
  <c r="D35" i="66" s="1"/>
  <c r="AC33" i="27" l="1"/>
  <c r="AO22" i="40" s="1"/>
  <c r="AP22" i="40"/>
  <c r="D23" i="40"/>
  <c r="B18" i="50"/>
  <c r="Q31" i="27"/>
  <c r="Z30" i="27"/>
  <c r="AU21" i="40" s="1"/>
  <c r="S30" i="27"/>
  <c r="AT21" i="40" s="1"/>
  <c r="AS23" i="40"/>
  <c r="K32" i="27"/>
  <c r="D36" i="66" s="1"/>
  <c r="T22" i="40"/>
  <c r="H33" i="27"/>
  <c r="O33" i="27" s="1"/>
  <c r="J33" i="27"/>
  <c r="AG32" i="27"/>
  <c r="AQ21" i="40" s="1"/>
  <c r="Y32" i="27"/>
  <c r="W33" i="27"/>
  <c r="X33" i="27" s="1"/>
  <c r="F37" i="66" s="1"/>
  <c r="G34" i="27"/>
  <c r="AE34" i="27" s="1"/>
  <c r="E34" i="27"/>
  <c r="D24" i="40" s="1"/>
  <c r="C38" i="66"/>
  <c r="U34" i="27"/>
  <c r="AA34" i="27" s="1"/>
  <c r="D36" i="27"/>
  <c r="F35" i="27"/>
  <c r="AC34" i="27" l="1"/>
  <c r="AO23" i="40" s="1"/>
  <c r="AP23" i="40"/>
  <c r="E35" i="27"/>
  <c r="D25" i="40" s="1"/>
  <c r="U35" i="27"/>
  <c r="AA35" i="27" s="1"/>
  <c r="C39" i="66"/>
  <c r="G35" i="27"/>
  <c r="D37" i="27"/>
  <c r="F36" i="27"/>
  <c r="Q32" i="27"/>
  <c r="Z31" i="27"/>
  <c r="AU22" i="40" s="1"/>
  <c r="S31" i="27"/>
  <c r="AT22" i="40" s="1"/>
  <c r="W34" i="27"/>
  <c r="X34" i="27" s="1"/>
  <c r="F38" i="66" s="1"/>
  <c r="AG33" i="27"/>
  <c r="Y33" i="27"/>
  <c r="K18" i="50" s="1"/>
  <c r="J34" i="27"/>
  <c r="H34" i="27"/>
  <c r="O34" i="27" s="1"/>
  <c r="AS24" i="40"/>
  <c r="C18" i="50"/>
  <c r="T23" i="40"/>
  <c r="K33" i="27"/>
  <c r="AE35" i="27" l="1"/>
  <c r="Y34" i="27"/>
  <c r="H35" i="27"/>
  <c r="O35" i="27" s="1"/>
  <c r="J35" i="27"/>
  <c r="AQ22" i="40"/>
  <c r="L18" i="50"/>
  <c r="AG34" i="27"/>
  <c r="AQ23" i="40" s="1"/>
  <c r="W35" i="27"/>
  <c r="X35" i="27" s="1"/>
  <c r="F39" i="66" s="1"/>
  <c r="D37" i="66"/>
  <c r="D18" i="50"/>
  <c r="AS25" i="40"/>
  <c r="T24" i="40"/>
  <c r="K34" i="27"/>
  <c r="D38" i="66" s="1"/>
  <c r="Q33" i="27"/>
  <c r="S32" i="27"/>
  <c r="AT23" i="40" s="1"/>
  <c r="Z32" i="27"/>
  <c r="AU23" i="40" s="1"/>
  <c r="AP24" i="40"/>
  <c r="G36" i="27"/>
  <c r="E36" i="27"/>
  <c r="D26" i="40" s="1"/>
  <c r="C40" i="66"/>
  <c r="U36" i="27"/>
  <c r="AA36" i="27" s="1"/>
  <c r="AC35" i="27"/>
  <c r="AO24" i="40" s="1"/>
  <c r="D38" i="27"/>
  <c r="F37" i="27"/>
  <c r="AC36" i="27" l="1"/>
  <c r="AO25" i="40" s="1"/>
  <c r="AE37" i="27"/>
  <c r="AE36" i="27"/>
  <c r="AP25" i="40" s="1"/>
  <c r="D39" i="27"/>
  <c r="F38" i="27"/>
  <c r="J36" i="27"/>
  <c r="H36" i="27"/>
  <c r="O36" i="27" s="1"/>
  <c r="H18" i="50"/>
  <c r="Q34" i="27"/>
  <c r="S33" i="27"/>
  <c r="AT24" i="40" s="1"/>
  <c r="Z33" i="27"/>
  <c r="AG35" i="27"/>
  <c r="AQ24" i="40" s="1"/>
  <c r="Y35" i="27"/>
  <c r="U37" i="27"/>
  <c r="AA37" i="27" s="1"/>
  <c r="G37" i="27"/>
  <c r="C41" i="66"/>
  <c r="E37" i="27"/>
  <c r="D27" i="40" s="1"/>
  <c r="W36" i="27"/>
  <c r="X36" i="27" s="1"/>
  <c r="F40" i="66" s="1"/>
  <c r="AS26" i="40"/>
  <c r="T25" i="40"/>
  <c r="K35" i="27"/>
  <c r="D39" i="66" s="1"/>
  <c r="J37" i="27" l="1"/>
  <c r="H37" i="27"/>
  <c r="O37" i="27" s="1"/>
  <c r="J18" i="50"/>
  <c r="AU24" i="40"/>
  <c r="AS27" i="40"/>
  <c r="T26" i="40"/>
  <c r="K36" i="27"/>
  <c r="D40" i="66" s="1"/>
  <c r="AP26" i="40"/>
  <c r="Q35" i="27"/>
  <c r="Z34" i="27"/>
  <c r="AU25" i="40" s="1"/>
  <c r="S34" i="27"/>
  <c r="AT25" i="40" s="1"/>
  <c r="AG36" i="27"/>
  <c r="AQ25" i="40" s="1"/>
  <c r="E38" i="27"/>
  <c r="C42" i="66"/>
  <c r="U38" i="27"/>
  <c r="AA38" i="27" s="1"/>
  <c r="G38" i="27"/>
  <c r="D40" i="27"/>
  <c r="F39" i="27"/>
  <c r="AC37" i="27"/>
  <c r="AO26" i="40" s="1"/>
  <c r="W37" i="27"/>
  <c r="X37" i="27" s="1"/>
  <c r="F41" i="66" s="1"/>
  <c r="Y36" i="27"/>
  <c r="AE38" i="27" l="1"/>
  <c r="AP27" i="40" s="1"/>
  <c r="E39" i="27"/>
  <c r="D29" i="40" s="1"/>
  <c r="G39" i="27"/>
  <c r="U39" i="27"/>
  <c r="AA39" i="27" s="1"/>
  <c r="C43" i="66"/>
  <c r="W38" i="27"/>
  <c r="X38" i="27" s="1"/>
  <c r="F42" i="66" s="1"/>
  <c r="D41" i="27"/>
  <c r="F40" i="27"/>
  <c r="AC38" i="27"/>
  <c r="AO27" i="40" s="1"/>
  <c r="D28" i="40"/>
  <c r="B19" i="50"/>
  <c r="Q36" i="27"/>
  <c r="S35" i="27"/>
  <c r="AT26" i="40" s="1"/>
  <c r="Z35" i="27"/>
  <c r="AU26" i="40" s="1"/>
  <c r="AS28" i="40"/>
  <c r="T27" i="40"/>
  <c r="K37" i="27"/>
  <c r="D41" i="66" s="1"/>
  <c r="H38" i="27"/>
  <c r="O38" i="27" s="1"/>
  <c r="J38" i="27"/>
  <c r="AG37" i="27"/>
  <c r="AQ26" i="40" s="1"/>
  <c r="Y37" i="27"/>
  <c r="AE39" i="27" l="1"/>
  <c r="AP28" i="40" s="1"/>
  <c r="Y38" i="27"/>
  <c r="K19" i="50" s="1"/>
  <c r="AG38" i="27"/>
  <c r="AQ27" i="40" s="1"/>
  <c r="Q37" i="27"/>
  <c r="S36" i="27"/>
  <c r="AT27" i="40" s="1"/>
  <c r="Z36" i="27"/>
  <c r="AU27" i="40" s="1"/>
  <c r="AS29" i="40"/>
  <c r="T28" i="40"/>
  <c r="C19" i="50"/>
  <c r="K38" i="27"/>
  <c r="C44" i="66"/>
  <c r="U40" i="27"/>
  <c r="AA40" i="27" s="1"/>
  <c r="G40" i="27"/>
  <c r="E40" i="27"/>
  <c r="D30" i="40" s="1"/>
  <c r="W39" i="27"/>
  <c r="X39" i="27" s="1"/>
  <c r="F43" i="66" s="1"/>
  <c r="H39" i="27"/>
  <c r="O39" i="27" s="1"/>
  <c r="J39" i="27"/>
  <c r="D42" i="27"/>
  <c r="F41" i="27"/>
  <c r="AC39" i="27"/>
  <c r="AO28" i="40" s="1"/>
  <c r="AE40" i="27" l="1"/>
  <c r="AP29" i="40" s="1"/>
  <c r="L19" i="50"/>
  <c r="J40" i="27"/>
  <c r="H40" i="27"/>
  <c r="O40" i="27" s="1"/>
  <c r="AS30" i="40"/>
  <c r="K39" i="27"/>
  <c r="D43" i="66" s="1"/>
  <c r="T29" i="40"/>
  <c r="U41" i="27"/>
  <c r="AA41" i="27" s="1"/>
  <c r="C45" i="66"/>
  <c r="G41" i="27"/>
  <c r="E41" i="27"/>
  <c r="D31" i="40" s="1"/>
  <c r="W40" i="27"/>
  <c r="X40" i="27" s="1"/>
  <c r="F44" i="66" s="1"/>
  <c r="AC40" i="27"/>
  <c r="AO29" i="40" s="1"/>
  <c r="Q38" i="27"/>
  <c r="S37" i="27"/>
  <c r="AT28" i="40" s="1"/>
  <c r="Z37" i="27"/>
  <c r="AU28" i="40" s="1"/>
  <c r="D43" i="27"/>
  <c r="F42" i="27"/>
  <c r="Y39" i="27"/>
  <c r="D42" i="66"/>
  <c r="D19" i="50"/>
  <c r="AG39" i="27"/>
  <c r="AQ28" i="40" s="1"/>
  <c r="AE41" i="27" l="1"/>
  <c r="D44" i="27"/>
  <c r="F43" i="27"/>
  <c r="AC41" i="27"/>
  <c r="AO30" i="40" s="1"/>
  <c r="G42" i="27"/>
  <c r="E42" i="27"/>
  <c r="D32" i="40" s="1"/>
  <c r="U42" i="27"/>
  <c r="AA42" i="27" s="1"/>
  <c r="C46" i="66"/>
  <c r="AP30" i="40"/>
  <c r="W41" i="27"/>
  <c r="X41" i="27" s="1"/>
  <c r="F45" i="66" s="1"/>
  <c r="H19" i="50"/>
  <c r="Q39" i="27"/>
  <c r="S38" i="27"/>
  <c r="AT29" i="40" s="1"/>
  <c r="Z38" i="27"/>
  <c r="AG40" i="27"/>
  <c r="AQ29" i="40" s="1"/>
  <c r="AS31" i="40"/>
  <c r="T30" i="40"/>
  <c r="K40" i="27"/>
  <c r="D44" i="66" s="1"/>
  <c r="H41" i="27"/>
  <c r="O41" i="27" s="1"/>
  <c r="J41" i="27"/>
  <c r="Y40" i="27"/>
  <c r="AE42" i="27" l="1"/>
  <c r="AP31" i="40" s="1"/>
  <c r="AS32" i="40"/>
  <c r="K41" i="27"/>
  <c r="D45" i="66" s="1"/>
  <c r="T31" i="40"/>
  <c r="AU29" i="40"/>
  <c r="J19" i="50"/>
  <c r="AC42" i="27"/>
  <c r="AO31" i="40" s="1"/>
  <c r="Y41" i="27"/>
  <c r="Q40" i="27"/>
  <c r="S39" i="27"/>
  <c r="AT30" i="40" s="1"/>
  <c r="Z39" i="27"/>
  <c r="AU30" i="40" s="1"/>
  <c r="W42" i="27"/>
  <c r="X42" i="27" s="1"/>
  <c r="F46" i="66" s="1"/>
  <c r="C47" i="66"/>
  <c r="U43" i="27"/>
  <c r="AA43" i="27" s="1"/>
  <c r="E43" i="27"/>
  <c r="G43" i="27"/>
  <c r="D45" i="27"/>
  <c r="F44" i="27"/>
  <c r="H42" i="27"/>
  <c r="O42" i="27" s="1"/>
  <c r="J42" i="27"/>
  <c r="AG41" i="27"/>
  <c r="AQ30" i="40" s="1"/>
  <c r="AE43" i="27" l="1"/>
  <c r="AP32" i="40" s="1"/>
  <c r="Y42" i="27"/>
  <c r="W43" i="27"/>
  <c r="X43" i="27" s="1"/>
  <c r="F47" i="66" s="1"/>
  <c r="D46" i="27"/>
  <c r="F45" i="27"/>
  <c r="AC43" i="27"/>
  <c r="AO32" i="40" s="1"/>
  <c r="AS33" i="40"/>
  <c r="K42" i="27"/>
  <c r="D46" i="66" s="1"/>
  <c r="T32" i="40"/>
  <c r="Q41" i="27"/>
  <c r="S40" i="27"/>
  <c r="AT31" i="40" s="1"/>
  <c r="Z40" i="27"/>
  <c r="AU31" i="40" s="1"/>
  <c r="H43" i="27"/>
  <c r="O43" i="27" s="1"/>
  <c r="J43" i="27"/>
  <c r="G44" i="27"/>
  <c r="U44" i="27"/>
  <c r="AA44" i="27" s="1"/>
  <c r="C48" i="66"/>
  <c r="E44" i="27"/>
  <c r="D34" i="40" s="1"/>
  <c r="B20" i="50"/>
  <c r="D33" i="40"/>
  <c r="AG42" i="27"/>
  <c r="AQ31" i="40" s="1"/>
  <c r="AE44" i="27" l="1"/>
  <c r="AP33" i="40" s="1"/>
  <c r="AG43" i="27"/>
  <c r="AQ32" i="40" s="1"/>
  <c r="Y43" i="27"/>
  <c r="K20" i="50" s="1"/>
  <c r="W44" i="27"/>
  <c r="X44" i="27" s="1"/>
  <c r="F48" i="66" s="1"/>
  <c r="AC44" i="27"/>
  <c r="AO33" i="40" s="1"/>
  <c r="AS34" i="40"/>
  <c r="K43" i="27"/>
  <c r="C20" i="50"/>
  <c r="T33" i="40"/>
  <c r="E45" i="27"/>
  <c r="D35" i="40" s="1"/>
  <c r="G45" i="27"/>
  <c r="U45" i="27"/>
  <c r="AA45" i="27" s="1"/>
  <c r="C49" i="66"/>
  <c r="D47" i="27"/>
  <c r="F46" i="27"/>
  <c r="H44" i="27"/>
  <c r="O44" i="27" s="1"/>
  <c r="J44" i="27"/>
  <c r="Q42" i="27"/>
  <c r="S41" i="27"/>
  <c r="AT32" i="40" s="1"/>
  <c r="Z41" i="27"/>
  <c r="AU32" i="40" s="1"/>
  <c r="AE45" i="27" l="1"/>
  <c r="L20" i="50"/>
  <c r="Y44" i="27"/>
  <c r="H45" i="27"/>
  <c r="O45" i="27" s="1"/>
  <c r="J45" i="27"/>
  <c r="D47" i="66"/>
  <c r="D20" i="50"/>
  <c r="D48" i="27"/>
  <c r="F47" i="27"/>
  <c r="AS35" i="40"/>
  <c r="T34" i="40"/>
  <c r="K44" i="27"/>
  <c r="D48" i="66" s="1"/>
  <c r="AP34" i="40"/>
  <c r="W45" i="27"/>
  <c r="X45" i="27" s="1"/>
  <c r="F49" i="66" s="1"/>
  <c r="AC45" i="27"/>
  <c r="AO34" i="40" s="1"/>
  <c r="E46" i="27"/>
  <c r="D36" i="40" s="1"/>
  <c r="G46" i="27"/>
  <c r="C50" i="66"/>
  <c r="U46" i="27"/>
  <c r="AA46" i="27" s="1"/>
  <c r="AG44" i="27"/>
  <c r="AQ33" i="40" s="1"/>
  <c r="Q43" i="27"/>
  <c r="Z42" i="27"/>
  <c r="AU33" i="40" s="1"/>
  <c r="S42" i="27"/>
  <c r="AT33" i="40" s="1"/>
  <c r="AE46" i="27" l="1"/>
  <c r="AP35" i="40" s="1"/>
  <c r="W46" i="27"/>
  <c r="X46" i="27" s="1"/>
  <c r="F50" i="66" s="1"/>
  <c r="AG45" i="27"/>
  <c r="AQ34" i="40" s="1"/>
  <c r="H46" i="27"/>
  <c r="O46" i="27" s="1"/>
  <c r="J46" i="27"/>
  <c r="Q44" i="27"/>
  <c r="H20" i="50"/>
  <c r="Z43" i="27"/>
  <c r="S43" i="27"/>
  <c r="AT34" i="40" s="1"/>
  <c r="AC46" i="27"/>
  <c r="AO35" i="40" s="1"/>
  <c r="C51" i="66"/>
  <c r="U47" i="27"/>
  <c r="AA47" i="27" s="1"/>
  <c r="G47" i="27"/>
  <c r="AE47" i="27" s="1"/>
  <c r="E47" i="27"/>
  <c r="D37" i="40" s="1"/>
  <c r="Y45" i="27"/>
  <c r="D49" i="27"/>
  <c r="F48" i="27"/>
  <c r="AS36" i="40"/>
  <c r="T35" i="40"/>
  <c r="K45" i="27"/>
  <c r="D49" i="66" s="1"/>
  <c r="Y46" i="27" l="1"/>
  <c r="W47" i="27"/>
  <c r="X47" i="27" s="1"/>
  <c r="F51" i="66" s="1"/>
  <c r="AU34" i="40"/>
  <c r="J20" i="50"/>
  <c r="AS37" i="40"/>
  <c r="K46" i="27"/>
  <c r="D50" i="66" s="1"/>
  <c r="T36" i="40"/>
  <c r="U48" i="27"/>
  <c r="AA48" i="27" s="1"/>
  <c r="C52" i="66"/>
  <c r="E48" i="27"/>
  <c r="G48" i="27"/>
  <c r="AC47" i="27"/>
  <c r="AO36" i="40" s="1"/>
  <c r="AG46" i="27"/>
  <c r="AQ35" i="40" s="1"/>
  <c r="D50" i="27"/>
  <c r="F49" i="27"/>
  <c r="Q45" i="27"/>
  <c r="Z44" i="27"/>
  <c r="AU35" i="40" s="1"/>
  <c r="S44" i="27"/>
  <c r="AT35" i="40" s="1"/>
  <c r="H47" i="27"/>
  <c r="O47" i="27" s="1"/>
  <c r="J47" i="27"/>
  <c r="AP36" i="40"/>
  <c r="AE48" i="27" l="1"/>
  <c r="Y47" i="27"/>
  <c r="H48" i="27"/>
  <c r="O48" i="27" s="1"/>
  <c r="J48" i="27"/>
  <c r="Q46" i="27"/>
  <c r="Z45" i="27"/>
  <c r="AU36" i="40" s="1"/>
  <c r="S45" i="27"/>
  <c r="AT36" i="40" s="1"/>
  <c r="D38" i="40"/>
  <c r="B21" i="50"/>
  <c r="AS38" i="40"/>
  <c r="K47" i="27"/>
  <c r="D51" i="66" s="1"/>
  <c r="T37" i="40"/>
  <c r="U49" i="27"/>
  <c r="AA49" i="27" s="1"/>
  <c r="G49" i="27"/>
  <c r="C53" i="66"/>
  <c r="E49" i="27"/>
  <c r="D39" i="40" s="1"/>
  <c r="AP37" i="40"/>
  <c r="D51" i="27"/>
  <c r="F50" i="27"/>
  <c r="AC48" i="27"/>
  <c r="AO37" i="40" s="1"/>
  <c r="W48" i="27"/>
  <c r="X48" i="27" s="1"/>
  <c r="F52" i="66" s="1"/>
  <c r="AG47" i="27"/>
  <c r="AQ36" i="40" s="1"/>
  <c r="AE49" i="27" l="1"/>
  <c r="AP38" i="40" s="1"/>
  <c r="AC49" i="27"/>
  <c r="AO38" i="40" s="1"/>
  <c r="E50" i="27"/>
  <c r="D40" i="40" s="1"/>
  <c r="G50" i="27"/>
  <c r="U50" i="27"/>
  <c r="AA50" i="27" s="1"/>
  <c r="C54" i="66"/>
  <c r="W49" i="27"/>
  <c r="X49" i="27" s="1"/>
  <c r="F53" i="66" s="1"/>
  <c r="D52" i="27"/>
  <c r="F51" i="27"/>
  <c r="Q47" i="27"/>
  <c r="Z46" i="27"/>
  <c r="AU37" i="40" s="1"/>
  <c r="S46" i="27"/>
  <c r="AT37" i="40" s="1"/>
  <c r="AG48" i="27"/>
  <c r="Y48" i="27"/>
  <c r="K21" i="50" s="1"/>
  <c r="H49" i="27"/>
  <c r="O49" i="27" s="1"/>
  <c r="J49" i="27"/>
  <c r="AS39" i="40"/>
  <c r="C21" i="50"/>
  <c r="K48" i="27"/>
  <c r="T38" i="40"/>
  <c r="AE50" i="27" l="1"/>
  <c r="AP39" i="40" s="1"/>
  <c r="Y49" i="27"/>
  <c r="J50" i="27"/>
  <c r="H50" i="27"/>
  <c r="O50" i="27" s="1"/>
  <c r="D53" i="27"/>
  <c r="F52" i="27"/>
  <c r="AC50" i="27"/>
  <c r="AO39" i="40" s="1"/>
  <c r="AQ37" i="40"/>
  <c r="L21" i="50"/>
  <c r="C55" i="66"/>
  <c r="U51" i="27"/>
  <c r="AA51" i="27" s="1"/>
  <c r="G51" i="27"/>
  <c r="E51" i="27"/>
  <c r="D41" i="40" s="1"/>
  <c r="D21" i="50"/>
  <c r="D52" i="66"/>
  <c r="AS40" i="40"/>
  <c r="T39" i="40"/>
  <c r="K49" i="27"/>
  <c r="D53" i="66" s="1"/>
  <c r="Q48" i="27"/>
  <c r="Z47" i="27"/>
  <c r="AU38" i="40" s="1"/>
  <c r="S47" i="27"/>
  <c r="AT38" i="40" s="1"/>
  <c r="W50" i="27"/>
  <c r="X50" i="27" s="1"/>
  <c r="F54" i="66" s="1"/>
  <c r="AG49" i="27"/>
  <c r="AQ38" i="40" s="1"/>
  <c r="O51" i="27" l="1"/>
  <c r="AE51" i="27"/>
  <c r="AP40" i="40" s="1"/>
  <c r="J51" i="27"/>
  <c r="H51" i="27"/>
  <c r="G52" i="27"/>
  <c r="E52" i="27"/>
  <c r="D42" i="40" s="1"/>
  <c r="C56" i="66"/>
  <c r="U52" i="27"/>
  <c r="AA52" i="27" s="1"/>
  <c r="D54" i="27"/>
  <c r="F53" i="27"/>
  <c r="W51" i="27"/>
  <c r="X51" i="27" s="1"/>
  <c r="F55" i="66" s="1"/>
  <c r="AG50" i="27"/>
  <c r="AQ39" i="40" s="1"/>
  <c r="AS41" i="40"/>
  <c r="T40" i="40"/>
  <c r="K50" i="27"/>
  <c r="D54" i="66" s="1"/>
  <c r="Q49" i="27"/>
  <c r="H21" i="50"/>
  <c r="S48" i="27"/>
  <c r="AT39" i="40" s="1"/>
  <c r="Z48" i="27"/>
  <c r="AC51" i="27"/>
  <c r="AO40" i="40" s="1"/>
  <c r="Y50" i="27"/>
  <c r="AE52" i="27" l="1"/>
  <c r="AC52" i="27"/>
  <c r="AO41" i="40" s="1"/>
  <c r="G53" i="27"/>
  <c r="U53" i="27"/>
  <c r="AA53" i="27" s="1"/>
  <c r="E53" i="27"/>
  <c r="C57" i="66"/>
  <c r="W52" i="27"/>
  <c r="X52" i="27" s="1"/>
  <c r="F56" i="66" s="1"/>
  <c r="AG51" i="27"/>
  <c r="AQ40" i="40" s="1"/>
  <c r="D55" i="27"/>
  <c r="F54" i="27"/>
  <c r="Q50" i="27"/>
  <c r="Z49" i="27"/>
  <c r="AU40" i="40" s="1"/>
  <c r="S49" i="27"/>
  <c r="AT40" i="40" s="1"/>
  <c r="AU39" i="40"/>
  <c r="J21" i="50"/>
  <c r="AS42" i="40"/>
  <c r="T41" i="40"/>
  <c r="K51" i="27"/>
  <c r="D55" i="66" s="1"/>
  <c r="H52" i="27"/>
  <c r="O52" i="27" s="1"/>
  <c r="J52" i="27"/>
  <c r="Y51" i="27"/>
  <c r="AE53" i="27" l="1"/>
  <c r="AP42" i="40" s="1"/>
  <c r="AG52" i="27"/>
  <c r="AQ41" i="40" s="1"/>
  <c r="AP41" i="40"/>
  <c r="Y52" i="27"/>
  <c r="D56" i="27"/>
  <c r="F55" i="27"/>
  <c r="D43" i="40"/>
  <c r="B22" i="50"/>
  <c r="Q51" i="27"/>
  <c r="S50" i="27"/>
  <c r="AT41" i="40" s="1"/>
  <c r="Z50" i="27"/>
  <c r="AU41" i="40" s="1"/>
  <c r="W53" i="27"/>
  <c r="X53" i="27" s="1"/>
  <c r="F57" i="66" s="1"/>
  <c r="H53" i="27"/>
  <c r="O53" i="27" s="1"/>
  <c r="J53" i="27"/>
  <c r="AS43" i="40"/>
  <c r="T42" i="40"/>
  <c r="K52" i="27"/>
  <c r="D56" i="66" s="1"/>
  <c r="AC53" i="27"/>
  <c r="AO42" i="40" s="1"/>
  <c r="C58" i="66"/>
  <c r="U54" i="27"/>
  <c r="AA54" i="27" s="1"/>
  <c r="E54" i="27"/>
  <c r="D44" i="40" s="1"/>
  <c r="G54" i="27"/>
  <c r="AE54" i="27" l="1"/>
  <c r="AP43" i="40" s="1"/>
  <c r="H54" i="27"/>
  <c r="O54" i="27" s="1"/>
  <c r="J54" i="27"/>
  <c r="Y53" i="27"/>
  <c r="K22" i="50" s="1"/>
  <c r="W54" i="27"/>
  <c r="X54" i="27" s="1"/>
  <c r="F58" i="66" s="1"/>
  <c r="AC54" i="27"/>
  <c r="AO43" i="40" s="1"/>
  <c r="AS44" i="40"/>
  <c r="T43" i="40"/>
  <c r="K53" i="27"/>
  <c r="C22" i="50"/>
  <c r="AG53" i="27"/>
  <c r="Q52" i="27"/>
  <c r="Z51" i="27"/>
  <c r="AU42" i="40" s="1"/>
  <c r="S51" i="27"/>
  <c r="AT42" i="40" s="1"/>
  <c r="C59" i="66"/>
  <c r="G55" i="27"/>
  <c r="E55" i="27"/>
  <c r="D45" i="40" s="1"/>
  <c r="U55" i="27"/>
  <c r="AA55" i="27" s="1"/>
  <c r="D57" i="27"/>
  <c r="F56" i="27"/>
  <c r="AE55" i="27" l="1"/>
  <c r="AG54" i="27"/>
  <c r="AQ43" i="40" s="1"/>
  <c r="Y54" i="27"/>
  <c r="E56" i="27"/>
  <c r="D46" i="40" s="1"/>
  <c r="G56" i="27"/>
  <c r="U56" i="27"/>
  <c r="AA56" i="27" s="1"/>
  <c r="C60" i="66"/>
  <c r="D58" i="27"/>
  <c r="F57" i="27"/>
  <c r="H55" i="27"/>
  <c r="O55" i="27" s="1"/>
  <c r="J55" i="27"/>
  <c r="Q53" i="27"/>
  <c r="Z52" i="27"/>
  <c r="AU43" i="40" s="1"/>
  <c r="S52" i="27"/>
  <c r="AT43" i="40" s="1"/>
  <c r="D22" i="50"/>
  <c r="D57" i="66"/>
  <c r="W55" i="27"/>
  <c r="X55" i="27" s="1"/>
  <c r="F59" i="66" s="1"/>
  <c r="AQ42" i="40"/>
  <c r="L22" i="50"/>
  <c r="AC55" i="27"/>
  <c r="AO44" i="40" s="1"/>
  <c r="AP44" i="40"/>
  <c r="AS45" i="40"/>
  <c r="T44" i="40"/>
  <c r="K54" i="27"/>
  <c r="D58" i="66" s="1"/>
  <c r="AE56" i="27" l="1"/>
  <c r="Y55" i="27"/>
  <c r="W56" i="27"/>
  <c r="X56" i="27" s="1"/>
  <c r="F60" i="66" s="1"/>
  <c r="J56" i="27"/>
  <c r="H56" i="27"/>
  <c r="O56" i="27" s="1"/>
  <c r="D59" i="27"/>
  <c r="F58" i="27"/>
  <c r="AC56" i="27"/>
  <c r="AO45" i="40" s="1"/>
  <c r="U57" i="27"/>
  <c r="AA57" i="27" s="1"/>
  <c r="E57" i="27"/>
  <c r="D47" i="40" s="1"/>
  <c r="C61" i="66"/>
  <c r="G57" i="27"/>
  <c r="AE57" i="27" s="1"/>
  <c r="H22" i="50"/>
  <c r="Q54" i="27"/>
  <c r="S53" i="27"/>
  <c r="AT44" i="40" s="1"/>
  <c r="Z53" i="27"/>
  <c r="AP45" i="40"/>
  <c r="AS46" i="40"/>
  <c r="K55" i="27"/>
  <c r="D59" i="66" s="1"/>
  <c r="T45" i="40"/>
  <c r="AG55" i="27"/>
  <c r="AQ44" i="40" s="1"/>
  <c r="Y56" i="27" l="1"/>
  <c r="AP46" i="40"/>
  <c r="AC57" i="27"/>
  <c r="AO46" i="40" s="1"/>
  <c r="Q55" i="27"/>
  <c r="S54" i="27"/>
  <c r="AT45" i="40" s="1"/>
  <c r="Z54" i="27"/>
  <c r="AU45" i="40" s="1"/>
  <c r="W57" i="27"/>
  <c r="X57" i="27" s="1"/>
  <c r="F61" i="66" s="1"/>
  <c r="AS47" i="40"/>
  <c r="K56" i="27"/>
  <c r="D60" i="66" s="1"/>
  <c r="T46" i="40"/>
  <c r="J57" i="27"/>
  <c r="Y57" i="27" s="1"/>
  <c r="H57" i="27"/>
  <c r="O57" i="27" s="1"/>
  <c r="J22" i="50"/>
  <c r="AU44" i="40"/>
  <c r="AG56" i="27"/>
  <c r="AQ45" i="40" s="1"/>
  <c r="E58" i="27"/>
  <c r="C62" i="66"/>
  <c r="G58" i="27"/>
  <c r="U58" i="27"/>
  <c r="AA58" i="27" s="1"/>
  <c r="D60" i="27"/>
  <c r="F59" i="27"/>
  <c r="AE58" i="27" l="1"/>
  <c r="AP47" i="40" s="1"/>
  <c r="W58" i="27"/>
  <c r="X58" i="27" s="1"/>
  <c r="F62" i="66" s="1"/>
  <c r="AS48" i="40"/>
  <c r="K57" i="27"/>
  <c r="D61" i="66" s="1"/>
  <c r="T47" i="40"/>
  <c r="D48" i="40"/>
  <c r="B23" i="50"/>
  <c r="AG57" i="27"/>
  <c r="AQ46" i="40" s="1"/>
  <c r="E59" i="27"/>
  <c r="D49" i="40" s="1"/>
  <c r="U59" i="27"/>
  <c r="AA59" i="27" s="1"/>
  <c r="C63" i="66"/>
  <c r="G59" i="27"/>
  <c r="J58" i="27"/>
  <c r="H58" i="27"/>
  <c r="O58" i="27" s="1"/>
  <c r="Q56" i="27"/>
  <c r="S55" i="27"/>
  <c r="AT46" i="40" s="1"/>
  <c r="Z55" i="27"/>
  <c r="AU46" i="40" s="1"/>
  <c r="D61" i="27"/>
  <c r="F60" i="27"/>
  <c r="AC58" i="27"/>
  <c r="AO47" i="40" s="1"/>
  <c r="AC59" i="27" l="1"/>
  <c r="AO48" i="40" s="1"/>
  <c r="AE59" i="27"/>
  <c r="AG59" i="27" s="1"/>
  <c r="AQ48" i="40" s="1"/>
  <c r="Y58" i="27"/>
  <c r="K23" i="50" s="1"/>
  <c r="W59" i="27"/>
  <c r="X59" i="27" s="1"/>
  <c r="F63" i="66" s="1"/>
  <c r="E60" i="27"/>
  <c r="D50" i="40" s="1"/>
  <c r="U60" i="27"/>
  <c r="AA60" i="27" s="1"/>
  <c r="G60" i="27"/>
  <c r="AE60" i="27" s="1"/>
  <c r="C64" i="66"/>
  <c r="Q57" i="27"/>
  <c r="S56" i="27"/>
  <c r="AT47" i="40" s="1"/>
  <c r="Z56" i="27"/>
  <c r="AU47" i="40" s="1"/>
  <c r="H59" i="27"/>
  <c r="O59" i="27" s="1"/>
  <c r="J59" i="27"/>
  <c r="D62" i="27"/>
  <c r="F61" i="27"/>
  <c r="AS49" i="40"/>
  <c r="K58" i="27"/>
  <c r="T48" i="40"/>
  <c r="C23" i="50"/>
  <c r="AG58" i="27"/>
  <c r="AP48" i="40" l="1"/>
  <c r="Y59" i="27"/>
  <c r="AP49" i="40"/>
  <c r="D63" i="27"/>
  <c r="F62" i="27"/>
  <c r="AQ47" i="40"/>
  <c r="L23" i="50"/>
  <c r="D23" i="50"/>
  <c r="D62" i="66"/>
  <c r="Q58" i="27"/>
  <c r="S57" i="27"/>
  <c r="AT48" i="40" s="1"/>
  <c r="Z57" i="27"/>
  <c r="AU48" i="40" s="1"/>
  <c r="AS50" i="40"/>
  <c r="K59" i="27"/>
  <c r="D63" i="66" s="1"/>
  <c r="T49" i="40"/>
  <c r="AC60" i="27"/>
  <c r="AO49" i="40" s="1"/>
  <c r="C65" i="66"/>
  <c r="G61" i="27"/>
  <c r="E61" i="27"/>
  <c r="D51" i="40" s="1"/>
  <c r="U61" i="27"/>
  <c r="AA61" i="27" s="1"/>
  <c r="H60" i="27"/>
  <c r="O60" i="27" s="1"/>
  <c r="J60" i="27"/>
  <c r="W60" i="27"/>
  <c r="X60" i="27" s="1"/>
  <c r="F64" i="66" s="1"/>
  <c r="AE61" i="27" l="1"/>
  <c r="AP50" i="40" s="1"/>
  <c r="J61" i="27"/>
  <c r="H61" i="27"/>
  <c r="O61" i="27" s="1"/>
  <c r="AC61" i="27"/>
  <c r="AO50" i="40" s="1"/>
  <c r="Q59" i="27"/>
  <c r="H23" i="50"/>
  <c r="Z58" i="27"/>
  <c r="S58" i="27"/>
  <c r="AT49" i="40" s="1"/>
  <c r="AS51" i="40"/>
  <c r="T50" i="40"/>
  <c r="K60" i="27"/>
  <c r="D64" i="66" s="1"/>
  <c r="Y60" i="27"/>
  <c r="W61" i="27"/>
  <c r="X61" i="27" s="1"/>
  <c r="F65" i="66" s="1"/>
  <c r="AG60" i="27"/>
  <c r="AQ49" i="40" s="1"/>
  <c r="E62" i="27"/>
  <c r="D52" i="40" s="1"/>
  <c r="G62" i="27"/>
  <c r="U62" i="27"/>
  <c r="AA62" i="27" s="1"/>
  <c r="C66" i="66"/>
  <c r="D64" i="27"/>
  <c r="F63" i="27"/>
  <c r="AE62" i="27" l="1"/>
  <c r="AP51" i="40" s="1"/>
  <c r="W62" i="27"/>
  <c r="X62" i="27" s="1"/>
  <c r="F66" i="66" s="1"/>
  <c r="G63" i="27"/>
  <c r="AE63" i="27" s="1"/>
  <c r="C67" i="66"/>
  <c r="U63" i="27"/>
  <c r="AA63" i="27" s="1"/>
  <c r="E63" i="27"/>
  <c r="AU49" i="40"/>
  <c r="J23" i="50"/>
  <c r="AG61" i="27"/>
  <c r="AQ50" i="40" s="1"/>
  <c r="J62" i="27"/>
  <c r="H62" i="27"/>
  <c r="O62" i="27" s="1"/>
  <c r="AS52" i="40"/>
  <c r="K61" i="27"/>
  <c r="D65" i="66" s="1"/>
  <c r="T51" i="40"/>
  <c r="D65" i="27"/>
  <c r="F64" i="27"/>
  <c r="AC62" i="27"/>
  <c r="AO51" i="40" s="1"/>
  <c r="Q60" i="27"/>
  <c r="S59" i="27"/>
  <c r="AT50" i="40" s="1"/>
  <c r="Z59" i="27"/>
  <c r="AU50" i="40" s="1"/>
  <c r="Y61" i="27"/>
  <c r="Y62" i="27" l="1"/>
  <c r="J63" i="27"/>
  <c r="H63" i="27"/>
  <c r="O63" i="27" s="1"/>
  <c r="AP52" i="40"/>
  <c r="G64" i="27"/>
  <c r="E64" i="27"/>
  <c r="D54" i="40" s="1"/>
  <c r="U64" i="27"/>
  <c r="AA64" i="27" s="1"/>
  <c r="C68" i="66"/>
  <c r="D53" i="40"/>
  <c r="B24" i="50"/>
  <c r="Q61" i="27"/>
  <c r="S60" i="27"/>
  <c r="AT51" i="40" s="1"/>
  <c r="Z60" i="27"/>
  <c r="AU51" i="40" s="1"/>
  <c r="W63" i="27"/>
  <c r="X63" i="27" s="1"/>
  <c r="F67" i="66" s="1"/>
  <c r="D66" i="27"/>
  <c r="F65" i="27"/>
  <c r="AS53" i="40"/>
  <c r="T52" i="40"/>
  <c r="K62" i="27"/>
  <c r="D66" i="66" s="1"/>
  <c r="AC63" i="27"/>
  <c r="AO52" i="40" s="1"/>
  <c r="AG62" i="27"/>
  <c r="AQ51" i="40" s="1"/>
  <c r="AE64" i="27" l="1"/>
  <c r="AP53" i="40" s="1"/>
  <c r="AG63" i="27"/>
  <c r="L24" i="50" s="1"/>
  <c r="H64" i="27"/>
  <c r="O64" i="27" s="1"/>
  <c r="J64" i="27"/>
  <c r="Q62" i="27"/>
  <c r="S61" i="27"/>
  <c r="AT52" i="40" s="1"/>
  <c r="Z61" i="27"/>
  <c r="AU52" i="40" s="1"/>
  <c r="AC64" i="27"/>
  <c r="AO53" i="40" s="1"/>
  <c r="E65" i="27"/>
  <c r="D55" i="40" s="1"/>
  <c r="G65" i="27"/>
  <c r="C69" i="66"/>
  <c r="U65" i="27"/>
  <c r="AA65" i="27" s="1"/>
  <c r="W64" i="27"/>
  <c r="X64" i="27" s="1"/>
  <c r="F68" i="66" s="1"/>
  <c r="AS54" i="40"/>
  <c r="T53" i="40"/>
  <c r="K63" i="27"/>
  <c r="C24" i="50"/>
  <c r="D67" i="27"/>
  <c r="F66" i="27"/>
  <c r="Y63" i="27"/>
  <c r="K24" i="50" s="1"/>
  <c r="AE65" i="27" l="1"/>
  <c r="AP54" i="40" s="1"/>
  <c r="AQ52" i="40"/>
  <c r="D67" i="66"/>
  <c r="D24" i="50"/>
  <c r="W65" i="27"/>
  <c r="X65" i="27" s="1"/>
  <c r="F69" i="66" s="1"/>
  <c r="G66" i="27"/>
  <c r="AE66" i="27" s="1"/>
  <c r="E66" i="27"/>
  <c r="D56" i="40" s="1"/>
  <c r="C70" i="66"/>
  <c r="U66" i="27"/>
  <c r="AA66" i="27" s="1"/>
  <c r="AG64" i="27"/>
  <c r="AQ53" i="40" s="1"/>
  <c r="Q63" i="27"/>
  <c r="Z62" i="27"/>
  <c r="AU53" i="40" s="1"/>
  <c r="S62" i="27"/>
  <c r="AT53" i="40" s="1"/>
  <c r="H65" i="27"/>
  <c r="O65" i="27" s="1"/>
  <c r="J65" i="27"/>
  <c r="Y64" i="27"/>
  <c r="D68" i="27"/>
  <c r="F67" i="27"/>
  <c r="AC65" i="27"/>
  <c r="AO54" i="40" s="1"/>
  <c r="AS55" i="40"/>
  <c r="T54" i="40"/>
  <c r="K64" i="27"/>
  <c r="D68" i="66" s="1"/>
  <c r="AC66" i="27" l="1"/>
  <c r="AO55" i="40" s="1"/>
  <c r="AP55" i="40"/>
  <c r="Y65" i="27"/>
  <c r="W66" i="27"/>
  <c r="X66" i="27" s="1"/>
  <c r="F70" i="66" s="1"/>
  <c r="U67" i="27"/>
  <c r="AA67" i="27" s="1"/>
  <c r="C71" i="66"/>
  <c r="E67" i="27"/>
  <c r="D57" i="40" s="1"/>
  <c r="G67" i="27"/>
  <c r="AE67" i="27" s="1"/>
  <c r="AS56" i="40"/>
  <c r="K65" i="27"/>
  <c r="D69" i="66" s="1"/>
  <c r="T55" i="40"/>
  <c r="D69" i="27"/>
  <c r="F68" i="27"/>
  <c r="J66" i="27"/>
  <c r="H66" i="27"/>
  <c r="O66" i="27" s="1"/>
  <c r="Q64" i="27"/>
  <c r="H24" i="50"/>
  <c r="S63" i="27"/>
  <c r="AT54" i="40" s="1"/>
  <c r="Z63" i="27"/>
  <c r="AG65" i="27"/>
  <c r="AQ54" i="40" s="1"/>
  <c r="O67" i="27" l="1"/>
  <c r="Y66" i="27"/>
  <c r="J67" i="27"/>
  <c r="H67" i="27"/>
  <c r="AU54" i="40"/>
  <c r="J24" i="50"/>
  <c r="AS57" i="40"/>
  <c r="K66" i="27"/>
  <c r="D70" i="66" s="1"/>
  <c r="T56" i="40"/>
  <c r="AG66" i="27"/>
  <c r="AQ55" i="40" s="1"/>
  <c r="AC67" i="27"/>
  <c r="AO56" i="40" s="1"/>
  <c r="AP56" i="40"/>
  <c r="W67" i="27"/>
  <c r="X67" i="27" s="1"/>
  <c r="F71" i="66" s="1"/>
  <c r="Q65" i="27"/>
  <c r="Z64" i="27"/>
  <c r="AU55" i="40" s="1"/>
  <c r="S64" i="27"/>
  <c r="AT55" i="40" s="1"/>
  <c r="U68" i="27"/>
  <c r="AA68" i="27" s="1"/>
  <c r="G68" i="27"/>
  <c r="C72" i="66"/>
  <c r="E68" i="27"/>
  <c r="D70" i="27"/>
  <c r="F69" i="27"/>
  <c r="AE68" i="27" l="1"/>
  <c r="AP57" i="40" s="1"/>
  <c r="AG67" i="27"/>
  <c r="AQ56" i="40" s="1"/>
  <c r="AC68" i="27"/>
  <c r="AO57" i="40" s="1"/>
  <c r="E69" i="27"/>
  <c r="D59" i="40" s="1"/>
  <c r="C73" i="66"/>
  <c r="U69" i="27"/>
  <c r="AA69" i="27" s="1"/>
  <c r="G69" i="27"/>
  <c r="AE69" i="27" s="1"/>
  <c r="D71" i="27"/>
  <c r="F70" i="27"/>
  <c r="D58" i="40"/>
  <c r="B25" i="50"/>
  <c r="W68" i="27"/>
  <c r="X68" i="27" s="1"/>
  <c r="F72" i="66" s="1"/>
  <c r="AS58" i="40"/>
  <c r="T57" i="40"/>
  <c r="K67" i="27"/>
  <c r="D71" i="66" s="1"/>
  <c r="J68" i="27"/>
  <c r="H68" i="27"/>
  <c r="O68" i="27" s="1"/>
  <c r="Q66" i="27"/>
  <c r="S65" i="27"/>
  <c r="AT56" i="40" s="1"/>
  <c r="Z65" i="27"/>
  <c r="AU56" i="40" s="1"/>
  <c r="Y67" i="27"/>
  <c r="AC69" i="27" l="1"/>
  <c r="AO58" i="40" s="1"/>
  <c r="AP58" i="40"/>
  <c r="Y68" i="27"/>
  <c r="K25" i="50" s="1"/>
  <c r="D72" i="27"/>
  <c r="F71" i="27"/>
  <c r="Q67" i="27"/>
  <c r="Z66" i="27"/>
  <c r="AU57" i="40" s="1"/>
  <c r="S66" i="27"/>
  <c r="AT57" i="40" s="1"/>
  <c r="AS59" i="40"/>
  <c r="K68" i="27"/>
  <c r="C25" i="50"/>
  <c r="T58" i="40"/>
  <c r="C74" i="66"/>
  <c r="E70" i="27"/>
  <c r="D60" i="40" s="1"/>
  <c r="U70" i="27"/>
  <c r="AA70" i="27" s="1"/>
  <c r="G70" i="27"/>
  <c r="H69" i="27"/>
  <c r="O69" i="27" s="1"/>
  <c r="J69" i="27"/>
  <c r="W69" i="27"/>
  <c r="X69" i="27" s="1"/>
  <c r="F73" i="66" s="1"/>
  <c r="AG68" i="27"/>
  <c r="AE70" i="27" l="1"/>
  <c r="AP59" i="40" s="1"/>
  <c r="AG69" i="27"/>
  <c r="AQ58" i="40" s="1"/>
  <c r="Y69" i="27"/>
  <c r="AQ57" i="40"/>
  <c r="L25" i="50"/>
  <c r="AS60" i="40"/>
  <c r="K69" i="27"/>
  <c r="D73" i="66" s="1"/>
  <c r="T59" i="40"/>
  <c r="AC70" i="27"/>
  <c r="AO59" i="40" s="1"/>
  <c r="D25" i="50"/>
  <c r="D72" i="66"/>
  <c r="J70" i="27"/>
  <c r="H70" i="27"/>
  <c r="O70" i="27" s="1"/>
  <c r="Q68" i="27"/>
  <c r="Z67" i="27"/>
  <c r="AU58" i="40" s="1"/>
  <c r="S67" i="27"/>
  <c r="AT58" i="40" s="1"/>
  <c r="W70" i="27"/>
  <c r="X70" i="27" s="1"/>
  <c r="F74" i="66" s="1"/>
  <c r="U71" i="27"/>
  <c r="AA71" i="27" s="1"/>
  <c r="G71" i="27"/>
  <c r="E71" i="27"/>
  <c r="D61" i="40" s="1"/>
  <c r="C75" i="66"/>
  <c r="D73" i="27"/>
  <c r="F72" i="27"/>
  <c r="AE71" i="27" l="1"/>
  <c r="AP60" i="40" s="1"/>
  <c r="D74" i="27"/>
  <c r="F73" i="27"/>
  <c r="AS61" i="40"/>
  <c r="T60" i="40"/>
  <c r="K70" i="27"/>
  <c r="D74" i="66" s="1"/>
  <c r="U72" i="27"/>
  <c r="AA72" i="27" s="1"/>
  <c r="E72" i="27"/>
  <c r="D62" i="40" s="1"/>
  <c r="C76" i="66"/>
  <c r="G72" i="27"/>
  <c r="Q69" i="27"/>
  <c r="H25" i="50"/>
  <c r="Z68" i="27"/>
  <c r="S68" i="27"/>
  <c r="AT59" i="40" s="1"/>
  <c r="J71" i="27"/>
  <c r="H71" i="27"/>
  <c r="O71" i="27" s="1"/>
  <c r="Y70" i="27"/>
  <c r="AC71" i="27"/>
  <c r="AO60" i="40" s="1"/>
  <c r="W71" i="27"/>
  <c r="X71" i="27" s="1"/>
  <c r="F75" i="66" s="1"/>
  <c r="AG70" i="27"/>
  <c r="AQ59" i="40" s="1"/>
  <c r="AE72" i="27" l="1"/>
  <c r="AP61" i="40" s="1"/>
  <c r="AC72" i="27"/>
  <c r="AO61" i="40" s="1"/>
  <c r="AU59" i="40"/>
  <c r="J25" i="50"/>
  <c r="AS62" i="40"/>
  <c r="T61" i="40"/>
  <c r="K71" i="27"/>
  <c r="D75" i="66" s="1"/>
  <c r="AG71" i="27"/>
  <c r="AQ60" i="40" s="1"/>
  <c r="Y71" i="27"/>
  <c r="Q70" i="27"/>
  <c r="S69" i="27"/>
  <c r="AT60" i="40" s="1"/>
  <c r="Z69" i="27"/>
  <c r="AU60" i="40" s="1"/>
  <c r="W72" i="27"/>
  <c r="X72" i="27" s="1"/>
  <c r="F76" i="66" s="1"/>
  <c r="G73" i="27"/>
  <c r="AE73" i="27" s="1"/>
  <c r="E73" i="27"/>
  <c r="U73" i="27"/>
  <c r="AA73" i="27" s="1"/>
  <c r="C77" i="66"/>
  <c r="D75" i="27"/>
  <c r="F74" i="27"/>
  <c r="J72" i="27"/>
  <c r="H72" i="27"/>
  <c r="O72" i="27" s="1"/>
  <c r="AC73" i="27" l="1"/>
  <c r="AO62" i="40" s="1"/>
  <c r="Y72" i="27"/>
  <c r="AP62" i="40"/>
  <c r="AS63" i="40"/>
  <c r="T62" i="40"/>
  <c r="K72" i="27"/>
  <c r="D76" i="66" s="1"/>
  <c r="B26" i="50"/>
  <c r="D63" i="40"/>
  <c r="H73" i="27"/>
  <c r="O73" i="27" s="1"/>
  <c r="J73" i="27"/>
  <c r="AG72" i="27"/>
  <c r="AQ61" i="40" s="1"/>
  <c r="W73" i="27"/>
  <c r="X73" i="27" s="1"/>
  <c r="F77" i="66" s="1"/>
  <c r="C78" i="66"/>
  <c r="E74" i="27"/>
  <c r="D64" i="40" s="1"/>
  <c r="U74" i="27"/>
  <c r="AA74" i="27" s="1"/>
  <c r="G74" i="27"/>
  <c r="Q71" i="27"/>
  <c r="S70" i="27"/>
  <c r="AT61" i="40" s="1"/>
  <c r="Z70" i="27"/>
  <c r="AU61" i="40" s="1"/>
  <c r="D76" i="27"/>
  <c r="F75" i="27"/>
  <c r="AE74" i="27" l="1"/>
  <c r="AP63" i="40" s="1"/>
  <c r="AG73" i="27"/>
  <c r="AQ62" i="40" s="1"/>
  <c r="W74" i="27"/>
  <c r="X74" i="27" s="1"/>
  <c r="F78" i="66" s="1"/>
  <c r="J74" i="27"/>
  <c r="H74" i="27"/>
  <c r="O74" i="27" s="1"/>
  <c r="Y73" i="27"/>
  <c r="K26" i="50" s="1"/>
  <c r="G75" i="27"/>
  <c r="U75" i="27"/>
  <c r="AA75" i="27" s="1"/>
  <c r="E75" i="27"/>
  <c r="D65" i="40" s="1"/>
  <c r="C79" i="66"/>
  <c r="Q72" i="27"/>
  <c r="S71" i="27"/>
  <c r="AT62" i="40" s="1"/>
  <c r="Z71" i="27"/>
  <c r="AU62" i="40" s="1"/>
  <c r="AS64" i="40"/>
  <c r="K73" i="27"/>
  <c r="T63" i="40"/>
  <c r="C26" i="50"/>
  <c r="D77" i="27"/>
  <c r="F76" i="27"/>
  <c r="AC74" i="27"/>
  <c r="AO63" i="40" s="1"/>
  <c r="AC75" i="27" l="1"/>
  <c r="AO64" i="40" s="1"/>
  <c r="AE75" i="27"/>
  <c r="AP64" i="40" s="1"/>
  <c r="L26" i="50"/>
  <c r="D78" i="27"/>
  <c r="F77" i="27"/>
  <c r="Q73" i="27"/>
  <c r="Z72" i="27"/>
  <c r="AU63" i="40" s="1"/>
  <c r="S72" i="27"/>
  <c r="AT63" i="40" s="1"/>
  <c r="AS65" i="40"/>
  <c r="K74" i="27"/>
  <c r="D78" i="66" s="1"/>
  <c r="T64" i="40"/>
  <c r="W75" i="27"/>
  <c r="X75" i="27" s="1"/>
  <c r="F79" i="66" s="1"/>
  <c r="Y74" i="27"/>
  <c r="AG74" i="27"/>
  <c r="AQ63" i="40" s="1"/>
  <c r="J75" i="27"/>
  <c r="Y75" i="27" s="1"/>
  <c r="H75" i="27"/>
  <c r="O75" i="27" s="1"/>
  <c r="U76" i="27"/>
  <c r="AA76" i="27" s="1"/>
  <c r="G76" i="27"/>
  <c r="C80" i="66"/>
  <c r="E76" i="27"/>
  <c r="D66" i="40" s="1"/>
  <c r="D26" i="50"/>
  <c r="D77" i="66"/>
  <c r="O76" i="27" l="1"/>
  <c r="AE76" i="27"/>
  <c r="W76" i="27"/>
  <c r="X76" i="27" s="1"/>
  <c r="F80" i="66" s="1"/>
  <c r="AS66" i="40"/>
  <c r="K75" i="27"/>
  <c r="D79" i="66" s="1"/>
  <c r="T65" i="40"/>
  <c r="J76" i="27"/>
  <c r="Y76" i="27" s="1"/>
  <c r="H76" i="27"/>
  <c r="AC76" i="27"/>
  <c r="AO65" i="40" s="1"/>
  <c r="H26" i="50"/>
  <c r="Q74" i="27"/>
  <c r="S73" i="27"/>
  <c r="AT64" i="40" s="1"/>
  <c r="Z73" i="27"/>
  <c r="AP65" i="40"/>
  <c r="AG75" i="27"/>
  <c r="AQ64" i="40" s="1"/>
  <c r="U77" i="27"/>
  <c r="AA77" i="27" s="1"/>
  <c r="C81" i="66"/>
  <c r="G77" i="27"/>
  <c r="E77" i="27"/>
  <c r="D67" i="40" s="1"/>
  <c r="D79" i="27"/>
  <c r="F78" i="27"/>
  <c r="O77" i="27" l="1"/>
  <c r="AE77" i="27"/>
  <c r="AP66" i="40" s="1"/>
  <c r="W77" i="27"/>
  <c r="X77" i="27" s="1"/>
  <c r="F81" i="66" s="1"/>
  <c r="AS67" i="40"/>
  <c r="T66" i="40"/>
  <c r="K76" i="27"/>
  <c r="D80" i="66" s="1"/>
  <c r="H77" i="27"/>
  <c r="J77" i="27"/>
  <c r="AC77" i="27"/>
  <c r="AO66" i="40" s="1"/>
  <c r="Q75" i="27"/>
  <c r="Z74" i="27"/>
  <c r="AU65" i="40" s="1"/>
  <c r="S74" i="27"/>
  <c r="AT65" i="40" s="1"/>
  <c r="E78" i="27"/>
  <c r="C82" i="66"/>
  <c r="G78" i="27"/>
  <c r="U78" i="27"/>
  <c r="AA78" i="27" s="1"/>
  <c r="D80" i="27"/>
  <c r="F79" i="27"/>
  <c r="AU64" i="40"/>
  <c r="J26" i="50"/>
  <c r="AG76" i="27"/>
  <c r="AQ65" i="40" s="1"/>
  <c r="AC78" i="27" l="1"/>
  <c r="AO67" i="40" s="1"/>
  <c r="O78" i="27"/>
  <c r="AE78" i="27"/>
  <c r="AP67" i="40" s="1"/>
  <c r="AG77" i="27"/>
  <c r="AQ66" i="40" s="1"/>
  <c r="Y77" i="27"/>
  <c r="D81" i="27"/>
  <c r="F80" i="27"/>
  <c r="Q76" i="27"/>
  <c r="S75" i="27"/>
  <c r="AT66" i="40" s="1"/>
  <c r="Z75" i="27"/>
  <c r="AU66" i="40" s="1"/>
  <c r="E79" i="27"/>
  <c r="D69" i="40" s="1"/>
  <c r="C83" i="66"/>
  <c r="G79" i="27"/>
  <c r="U79" i="27"/>
  <c r="AA79" i="27" s="1"/>
  <c r="D68" i="40"/>
  <c r="B27" i="50"/>
  <c r="W78" i="27"/>
  <c r="X78" i="27" s="1"/>
  <c r="F82" i="66" s="1"/>
  <c r="J78" i="27"/>
  <c r="H78" i="27"/>
  <c r="AS68" i="40"/>
  <c r="K77" i="27"/>
  <c r="D81" i="66" s="1"/>
  <c r="T67" i="40"/>
  <c r="AE79" i="27" l="1"/>
  <c r="AP68" i="40" s="1"/>
  <c r="Y78" i="27"/>
  <c r="K27" i="50" s="1"/>
  <c r="AC79" i="27"/>
  <c r="AO68" i="40" s="1"/>
  <c r="Q77" i="27"/>
  <c r="S76" i="27"/>
  <c r="AT67" i="40" s="1"/>
  <c r="Z76" i="27"/>
  <c r="AU67" i="40" s="1"/>
  <c r="AS69" i="40"/>
  <c r="C27" i="50"/>
  <c r="T68" i="40"/>
  <c r="K78" i="27"/>
  <c r="W79" i="27"/>
  <c r="X79" i="27" s="1"/>
  <c r="F83" i="66" s="1"/>
  <c r="AG78" i="27"/>
  <c r="J79" i="27"/>
  <c r="H79" i="27"/>
  <c r="O79" i="27" s="1"/>
  <c r="C84" i="66"/>
  <c r="E80" i="27"/>
  <c r="D70" i="40" s="1"/>
  <c r="G80" i="27"/>
  <c r="U80" i="27"/>
  <c r="AA80" i="27" s="1"/>
  <c r="D82" i="27"/>
  <c r="F81" i="27"/>
  <c r="AE80" i="27" l="1"/>
  <c r="AP69" i="40" s="1"/>
  <c r="AG79" i="27"/>
  <c r="AQ68" i="40" s="1"/>
  <c r="W80" i="27"/>
  <c r="X80" i="27" s="1"/>
  <c r="F84" i="66" s="1"/>
  <c r="U81" i="27"/>
  <c r="AA81" i="27" s="1"/>
  <c r="C85" i="66"/>
  <c r="G81" i="27"/>
  <c r="AE81" i="27" s="1"/>
  <c r="E81" i="27"/>
  <c r="D71" i="40" s="1"/>
  <c r="AS70" i="40"/>
  <c r="T69" i="40"/>
  <c r="K79" i="27"/>
  <c r="D83" i="66" s="1"/>
  <c r="Q78" i="27"/>
  <c r="S77" i="27"/>
  <c r="AT68" i="40" s="1"/>
  <c r="Z77" i="27"/>
  <c r="AU68" i="40" s="1"/>
  <c r="J80" i="27"/>
  <c r="H80" i="27"/>
  <c r="O80" i="27" s="1"/>
  <c r="Y79" i="27"/>
  <c r="D27" i="50"/>
  <c r="D82" i="66"/>
  <c r="D83" i="27"/>
  <c r="F82" i="27"/>
  <c r="AC80" i="27"/>
  <c r="AO69" i="40" s="1"/>
  <c r="AQ67" i="40"/>
  <c r="L27" i="50"/>
  <c r="F83" i="27" l="1"/>
  <c r="C87" i="66" s="1"/>
  <c r="D84" i="27"/>
  <c r="F84" i="27" s="1"/>
  <c r="Y80" i="27"/>
  <c r="AS71" i="40"/>
  <c r="K80" i="27"/>
  <c r="D84" i="66" s="1"/>
  <c r="T70" i="40"/>
  <c r="Q79" i="27"/>
  <c r="H27" i="50"/>
  <c r="S78" i="27"/>
  <c r="AT69" i="40" s="1"/>
  <c r="Z78" i="27"/>
  <c r="AC81" i="27"/>
  <c r="AO70" i="40" s="1"/>
  <c r="AP70" i="40"/>
  <c r="J81" i="27"/>
  <c r="H81" i="27"/>
  <c r="O81" i="27" s="1"/>
  <c r="C86" i="66"/>
  <c r="U82" i="27"/>
  <c r="AA82" i="27" s="1"/>
  <c r="E82" i="27"/>
  <c r="D72" i="40" s="1"/>
  <c r="G82" i="27"/>
  <c r="W81" i="27"/>
  <c r="X81" i="27" s="1"/>
  <c r="F85" i="66" s="1"/>
  <c r="AG80" i="27"/>
  <c r="AQ69" i="40" s="1"/>
  <c r="E83" i="27" l="1"/>
  <c r="B28" i="50" s="1"/>
  <c r="U83" i="27"/>
  <c r="AA83" i="27" s="1"/>
  <c r="G83" i="27"/>
  <c r="J83" i="27" s="1"/>
  <c r="G84" i="27"/>
  <c r="U84" i="27"/>
  <c r="C88" i="66"/>
  <c r="E84" i="27"/>
  <c r="D74" i="40" s="1"/>
  <c r="AE83" i="27"/>
  <c r="AP72" i="40" s="1"/>
  <c r="AC82" i="27"/>
  <c r="AO71" i="40" s="1"/>
  <c r="AC83" i="27"/>
  <c r="AO72" i="40" s="1"/>
  <c r="O83" i="27"/>
  <c r="AE82" i="27"/>
  <c r="AP71" i="40" s="1"/>
  <c r="W82" i="27"/>
  <c r="X82" i="27" s="1"/>
  <c r="F86" i="66" s="1"/>
  <c r="Y81" i="27"/>
  <c r="Q80" i="27"/>
  <c r="Z79" i="27"/>
  <c r="AU70" i="40" s="1"/>
  <c r="S79" i="27"/>
  <c r="AT70" i="40" s="1"/>
  <c r="J82" i="27"/>
  <c r="H82" i="27"/>
  <c r="O82" i="27" s="1"/>
  <c r="AS72" i="40"/>
  <c r="T71" i="40"/>
  <c r="K81" i="27"/>
  <c r="D85" i="66" s="1"/>
  <c r="AU69" i="40"/>
  <c r="J27" i="50"/>
  <c r="AG81" i="27"/>
  <c r="AQ70" i="40" s="1"/>
  <c r="H83" i="27" l="1"/>
  <c r="K83" i="27" s="1"/>
  <c r="D73" i="40"/>
  <c r="AA84" i="27"/>
  <c r="J84" i="27"/>
  <c r="H84" i="27"/>
  <c r="O84" i="27" s="1"/>
  <c r="AS75" i="40" s="1"/>
  <c r="AC84" i="27"/>
  <c r="AO73" i="40" s="1"/>
  <c r="AE84" i="27"/>
  <c r="AP73" i="40" s="1"/>
  <c r="Y82" i="27"/>
  <c r="W83" i="27"/>
  <c r="X83" i="27" s="1"/>
  <c r="F87" i="66" s="1"/>
  <c r="AG82" i="27"/>
  <c r="AQ71" i="40" s="1"/>
  <c r="AS73" i="40"/>
  <c r="K82" i="27"/>
  <c r="D86" i="66" s="1"/>
  <c r="T72" i="40"/>
  <c r="AG83" i="27"/>
  <c r="AS74" i="40"/>
  <c r="Q81" i="27"/>
  <c r="S80" i="27"/>
  <c r="AT71" i="40" s="1"/>
  <c r="Z80" i="27"/>
  <c r="AU71" i="40" s="1"/>
  <c r="C28" i="50" l="1"/>
  <c r="T73" i="40"/>
  <c r="AG84" i="27"/>
  <c r="AQ73" i="40" s="1"/>
  <c r="T74" i="40"/>
  <c r="K84" i="27"/>
  <c r="D89" i="66" s="1"/>
  <c r="W84" i="27"/>
  <c r="X84" i="27" s="1"/>
  <c r="F88" i="66" s="1"/>
  <c r="Y83" i="27"/>
  <c r="K28" i="50" s="1"/>
  <c r="D28" i="50"/>
  <c r="D87" i="66"/>
  <c r="L28" i="50"/>
  <c r="AQ72" i="40"/>
  <c r="Q82" i="27"/>
  <c r="Z81" i="27"/>
  <c r="AU72" i="40" s="1"/>
  <c r="S81" i="27"/>
  <c r="AT72" i="40" s="1"/>
  <c r="D88" i="66" l="1"/>
  <c r="Y84" i="27"/>
  <c r="Q83" i="27"/>
  <c r="S82" i="27"/>
  <c r="AT73" i="40" s="1"/>
  <c r="Z82" i="27"/>
  <c r="AU73" i="40" s="1"/>
  <c r="Q84" i="27" l="1"/>
  <c r="Z84" i="27" s="1"/>
  <c r="AU75" i="40" s="1"/>
  <c r="H28" i="50"/>
  <c r="Z83" i="27"/>
  <c r="S83" i="27"/>
  <c r="AT74" i="40" s="1"/>
  <c r="J28" i="50" l="1"/>
  <c r="AU74" i="40"/>
  <c r="Q85" i="27"/>
  <c r="S84" i="27"/>
  <c r="AT75" i="40" s="1"/>
  <c r="Q86" i="27" l="1"/>
  <c r="S85" i="27"/>
  <c r="Q87" i="27" l="1"/>
  <c r="S86" i="27"/>
  <c r="Q88" i="27" l="1"/>
  <c r="S87" i="27"/>
  <c r="H29" i="50" l="1"/>
  <c r="S88" i="27"/>
</calcChain>
</file>

<file path=xl/sharedStrings.xml><?xml version="1.0" encoding="utf-8"?>
<sst xmlns="http://schemas.openxmlformats.org/spreadsheetml/2006/main" count="987" uniqueCount="672">
  <si>
    <t>Hatch date</t>
  </si>
  <si>
    <t>www.novogen-layers.com</t>
  </si>
  <si>
    <t>♀</t>
  </si>
  <si>
    <t>%</t>
  </si>
  <si>
    <t>The performance data contained in this document was obtained from results and experience from our own research flocks. In no way does the data contained in this document constitute a warranty or guarantee of the same</t>
  </si>
  <si>
    <t>performance under different conditions of nutrition, density, or physical or biological environment. In particular (but without limitation of the foregoing) we do not grant any warranties regarding the fitness for purpose, performance, use, nature or</t>
  </si>
  <si>
    <t>quality of the flocks. Novogen makes no representation as the accuracy or completeness of the information contained in this document.</t>
  </si>
  <si>
    <t>mini</t>
  </si>
  <si>
    <t>maxi</t>
  </si>
  <si>
    <t>Country</t>
  </si>
  <si>
    <t>House</t>
  </si>
  <si>
    <t>Nombre</t>
  </si>
  <si>
    <t>Standard</t>
  </si>
  <si>
    <t>Bodyweight</t>
  </si>
  <si>
    <t>Poids corporel</t>
  </si>
  <si>
    <t>Peso corporal</t>
  </si>
  <si>
    <t>Pays</t>
  </si>
  <si>
    <t>Farm</t>
  </si>
  <si>
    <t>Ferme</t>
  </si>
  <si>
    <t>Granja</t>
  </si>
  <si>
    <t>Gallinero</t>
  </si>
  <si>
    <t>Poulailler</t>
  </si>
  <si>
    <t>Lignée</t>
  </si>
  <si>
    <t xml:space="preserve">Number  </t>
  </si>
  <si>
    <t>Date d'éclosion</t>
  </si>
  <si>
    <t>Fecha de nacimiento</t>
  </si>
  <si>
    <t>Egg weight</t>
  </si>
  <si>
    <t>Mortality</t>
  </si>
  <si>
    <t>A.E.W.</t>
  </si>
  <si>
    <t>Feed consumption</t>
  </si>
  <si>
    <t>Liveability</t>
  </si>
  <si>
    <t>Real</t>
  </si>
  <si>
    <t>Cumul</t>
  </si>
  <si>
    <t>Viabilité</t>
  </si>
  <si>
    <t>Date of transfer</t>
  </si>
  <si>
    <t>Date du transfert</t>
  </si>
  <si>
    <t>Fecha de traslado</t>
  </si>
  <si>
    <t>Company</t>
  </si>
  <si>
    <t>Société</t>
  </si>
  <si>
    <t>Mortalité</t>
  </si>
  <si>
    <t>P.M.H.</t>
  </si>
  <si>
    <t>P.M.O.</t>
  </si>
  <si>
    <t>NOVOGEN S.A.S.</t>
  </si>
  <si>
    <t>Mauguérand - LE FOEIL</t>
  </si>
  <si>
    <t>BP 265</t>
  </si>
  <si>
    <t>22 800 QUINTIN</t>
  </si>
  <si>
    <t>Número</t>
  </si>
  <si>
    <t>Acumul.</t>
  </si>
  <si>
    <t>Cumul.</t>
  </si>
  <si>
    <t>In %</t>
  </si>
  <si>
    <t>en %</t>
  </si>
  <si>
    <t>Egg production</t>
  </si>
  <si>
    <t>Egg mass</t>
  </si>
  <si>
    <t>Viabilidad</t>
  </si>
  <si>
    <t>Masa de huevos</t>
  </si>
  <si>
    <t>Masse cumulée / ♀</t>
  </si>
  <si>
    <t>Cumul. A.E.W.</t>
  </si>
  <si>
    <t>Day</t>
  </si>
  <si>
    <t>Masse d'œufs / Sem / ♀</t>
  </si>
  <si>
    <t>P.M.O. cumulé</t>
  </si>
  <si>
    <t>Jour</t>
  </si>
  <si>
    <t>Masa de huevos / Sem / ♀</t>
  </si>
  <si>
    <t>Día</t>
  </si>
  <si>
    <t>Actual</t>
  </si>
  <si>
    <t>/ ♀</t>
  </si>
  <si>
    <t>/ Egg</t>
  </si>
  <si>
    <t>/ Huevo</t>
  </si>
  <si>
    <t>Poids de l'œuf</t>
  </si>
  <si>
    <t>Peso del huevo</t>
  </si>
  <si>
    <t>Mortalidad</t>
  </si>
  <si>
    <t>Production d'œufs</t>
  </si>
  <si>
    <t>Masse d'œufs</t>
  </si>
  <si>
    <t>Consommation d'aliment</t>
  </si>
  <si>
    <t>Egg mass / Week / ♀</t>
  </si>
  <si>
    <t>Cumul. Egg mass / ♀</t>
  </si>
  <si>
    <t>Réel</t>
  </si>
  <si>
    <t>/ Œuf</t>
  </si>
  <si>
    <t>,</t>
  </si>
  <si>
    <t>Consumo de pienso</t>
  </si>
  <si>
    <t>Seconds</t>
  </si>
  <si>
    <t>Déclassés</t>
  </si>
  <si>
    <t>Desclasificados</t>
  </si>
  <si>
    <t>Déclassés Elevage</t>
  </si>
  <si>
    <t>Déclassés Centre</t>
  </si>
  <si>
    <t>Uniformity</t>
  </si>
  <si>
    <t>Homog</t>
  </si>
  <si>
    <t>Age pesée</t>
  </si>
  <si>
    <t>Centre</t>
  </si>
  <si>
    <t>Center</t>
  </si>
  <si>
    <t>Bodyweight (g)</t>
  </si>
  <si>
    <t>Conso totale</t>
  </si>
  <si>
    <t>Commentaires</t>
  </si>
  <si>
    <t>Tot. Cons.</t>
  </si>
  <si>
    <t>Weight date</t>
  </si>
  <si>
    <t>Cons. Tot.</t>
  </si>
  <si>
    <t>Seconds (farm)</t>
  </si>
  <si>
    <t>Seconds (pack. Stat)</t>
  </si>
  <si>
    <t>Ratio W/F</t>
  </si>
  <si>
    <t>Ratio E/A</t>
  </si>
  <si>
    <t>Rela. A/C</t>
  </si>
  <si>
    <t>Age (jours)</t>
  </si>
  <si>
    <t>Date at 18 weeks</t>
  </si>
  <si>
    <t>Date à 18 sem</t>
  </si>
  <si>
    <t>Production</t>
  </si>
  <si>
    <t>Conso d'aliment</t>
  </si>
  <si>
    <t>Water consumption</t>
  </si>
  <si>
    <t>Conso d'eau</t>
  </si>
  <si>
    <t>G</t>
  </si>
  <si>
    <t>Egg nb (/hh)</t>
  </si>
  <si>
    <t>Egg nb (st)</t>
  </si>
  <si>
    <t>Egg weight (st)</t>
  </si>
  <si>
    <t>Egg mass (st)</t>
  </si>
  <si>
    <t>Nb d'œufs</t>
  </si>
  <si>
    <t>Num. de huevos</t>
  </si>
  <si>
    <t>Poids d'œufs (st)</t>
  </si>
  <si>
    <t>masse d'œufs (st)</t>
  </si>
  <si>
    <t>Num. de huevos (st)</t>
  </si>
  <si>
    <t>P.M.H. (st)</t>
  </si>
  <si>
    <t>Nb d'œufs (st)</t>
  </si>
  <si>
    <t>Consumo de alimento</t>
  </si>
  <si>
    <t>Consumo de agua</t>
  </si>
  <si>
    <t>Type d'élevage</t>
  </si>
  <si>
    <t>House system</t>
  </si>
  <si>
    <t>Comentarios</t>
  </si>
  <si>
    <t>Cages</t>
  </si>
  <si>
    <t>Comment utiliser ce fichier ?</t>
  </si>
  <si>
    <t>OU</t>
  </si>
  <si>
    <t>Synthèse des résultats</t>
  </si>
  <si>
    <t>Tous les calculs et les graphiques se font automatiquement.</t>
  </si>
  <si>
    <t>Onglet  Eggmass graph : Evolution de la masse d'œuf produite et de l'indice par Kg d'œufs</t>
  </si>
  <si>
    <t>Onglet Second eggs graph : Evolution du taux de déclassés</t>
  </si>
  <si>
    <t>Onglet Production Data - Table : Synthèse des résultats techniques de production</t>
  </si>
  <si>
    <t>Onglet  Growing curve : Courbe de croissance</t>
  </si>
  <si>
    <t>Bio</t>
  </si>
  <si>
    <t>Plein air</t>
  </si>
  <si>
    <t>Volière</t>
  </si>
  <si>
    <t>Sol</t>
  </si>
  <si>
    <t>Age (sem)</t>
  </si>
  <si>
    <t>Croissance</t>
  </si>
  <si>
    <t>A</t>
  </si>
  <si>
    <t>B</t>
  </si>
  <si>
    <t>C</t>
  </si>
  <si>
    <t>D</t>
  </si>
  <si>
    <t>E</t>
  </si>
  <si>
    <t>F</t>
  </si>
  <si>
    <t>H</t>
  </si>
  <si>
    <t>I</t>
  </si>
  <si>
    <t>J</t>
  </si>
  <si>
    <t>K</t>
  </si>
  <si>
    <t>Feed</t>
  </si>
  <si>
    <t>Laying rate</t>
  </si>
  <si>
    <t>Cumulative</t>
  </si>
  <si>
    <t>Average</t>
  </si>
  <si>
    <t>Weekly</t>
  </si>
  <si>
    <t>F.C.R.</t>
  </si>
  <si>
    <t>F.C.</t>
  </si>
  <si>
    <t>min.</t>
  </si>
  <si>
    <t>consumption</t>
  </si>
  <si>
    <t>mortality</t>
  </si>
  <si>
    <t>egg number</t>
  </si>
  <si>
    <t>Egg Weight</t>
  </si>
  <si>
    <t>egg mass</t>
  </si>
  <si>
    <t>AEW</t>
  </si>
  <si>
    <t>(119 days)</t>
  </si>
  <si>
    <t>in g</t>
  </si>
  <si>
    <t>in %</t>
  </si>
  <si>
    <t>Hen Housed</t>
  </si>
  <si>
    <t>kg/kg</t>
  </si>
  <si>
    <t>g/egg</t>
  </si>
  <si>
    <t>The performance data contained in this document was obtained from results and experience from our own research flocks. In no way does the data contained in this document constitute a warranty or guarantee</t>
  </si>
  <si>
    <t>of the same performance under different conditions of nutrition, density, or physical or biological environment. In particular (but without limitation of the foregoing) we do not grant any warranties regarding</t>
  </si>
  <si>
    <t>the fitness for purpose, performance, use, nature or quality of the flocks. Novogen makes no representation as the accuracy or completeness of the information contained in this document.</t>
  </si>
  <si>
    <t>2 / Onglet Growing data input : Saisir les données journalières ou hebdomadaires (auquel cas, utiliser les lignes écrites en rouge pour faire le cumul de la semaine)</t>
  </si>
  <si>
    <t>Onglet Production graph : Courbe de production</t>
  </si>
  <si>
    <t>Onglet Synthesis : Synthèse des performances technico-économiques toutes les 5 semaines</t>
  </si>
  <si>
    <t>g</t>
  </si>
  <si>
    <t>g/day</t>
  </si>
  <si>
    <t>Date at 40 weeks</t>
  </si>
  <si>
    <t>Date at 60 weeks</t>
  </si>
  <si>
    <t>Date à 40 sem</t>
  </si>
  <si>
    <t>Date à 60 sem</t>
  </si>
  <si>
    <t>Français</t>
  </si>
  <si>
    <t>English</t>
  </si>
  <si>
    <t>Période d'élevage</t>
  </si>
  <si>
    <t>Rearing period</t>
  </si>
  <si>
    <t>Tableau de bord</t>
  </si>
  <si>
    <t>Performance chart</t>
  </si>
  <si>
    <t>Production period</t>
  </si>
  <si>
    <t>Période de production</t>
  </si>
  <si>
    <t>OR</t>
  </si>
  <si>
    <t>Saisie de données</t>
  </si>
  <si>
    <t>Data updating</t>
  </si>
  <si>
    <t>All calculations and graphics are automatically done.</t>
  </si>
  <si>
    <t>Onglet Rearing Data - Table : Synthèse des résultats techniques de la partie élevage</t>
  </si>
  <si>
    <t>Tab Growing curve tab: Growing curve</t>
  </si>
  <si>
    <t>Tab Production Data - Table: Summary of technical results</t>
  </si>
  <si>
    <t>tab Production graph: Production Curve</t>
  </si>
  <si>
    <t>Second eggs graph: Evolution of seconds</t>
  </si>
  <si>
    <t>Eggmass graph: Evolution of produced egg mass  and FCR per kg of eggs</t>
  </si>
  <si>
    <t>Español</t>
  </si>
  <si>
    <t>Choisir la langue</t>
  </si>
  <si>
    <t>O</t>
  </si>
  <si>
    <t>4 / Tab Production Data - Weekly input: Update the weekly data production from age 17 weeks</t>
  </si>
  <si>
    <r>
      <t>4 / Onglet Production Data - Weekly input : Saisir les données hebdomadaires de production</t>
    </r>
    <r>
      <rPr>
        <b/>
        <sz val="10"/>
        <rFont val="Arial"/>
        <family val="2"/>
      </rPr>
      <t xml:space="preserve"> en POURCENTAGE et en NOMBRE dès la 17ème semaine</t>
    </r>
  </si>
  <si>
    <t>Performance synthesis</t>
  </si>
  <si>
    <t>How to use this file?</t>
  </si>
  <si>
    <t>Cómo usar este archivo?</t>
  </si>
  <si>
    <t>Week</t>
  </si>
  <si>
    <t>Semaine</t>
  </si>
  <si>
    <t>Semana</t>
  </si>
  <si>
    <t>Producción</t>
  </si>
  <si>
    <t>Producción de huevos</t>
  </si>
  <si>
    <t>Planta</t>
  </si>
  <si>
    <t>Organic</t>
  </si>
  <si>
    <t>Free range</t>
  </si>
  <si>
    <t>Aviary</t>
  </si>
  <si>
    <t>Jaulas</t>
  </si>
  <si>
    <t>Acceso a pastoreo</t>
  </si>
  <si>
    <t>Sistema aviario</t>
  </si>
  <si>
    <t>Sistema en piso</t>
  </si>
  <si>
    <t>Floor</t>
  </si>
  <si>
    <t>Plein Air</t>
  </si>
  <si>
    <t>Choose the language</t>
  </si>
  <si>
    <t>2 / Tab Growing data input: Enter the daily or weekly data (in this case, use the lines written in red for the total of the week)</t>
  </si>
  <si>
    <t>Tab Rearing Data - Table: Overview of the technical results of the rearing period</t>
  </si>
  <si>
    <t>Tab Synthesis: Summary of technical and economic performances per period of 5 weeks</t>
  </si>
  <si>
    <t>Comments</t>
  </si>
  <si>
    <t>Weighing date</t>
  </si>
  <si>
    <t>Todos los cálculos y gráficos se realizan automáticamente.</t>
  </si>
  <si>
    <t>Pestaña de Datos de Levante/Crianza – Tabla: Resumen de los resultados de la parte de empadre</t>
  </si>
  <si>
    <t>Pestaña Curva de Crecimiento: Curva de Crecimiento</t>
  </si>
  <si>
    <t>Pestaña Datos de Producción – Tabla: Resumen de resultados técnicos</t>
  </si>
  <si>
    <t>Pestaña Gráfico de Producción</t>
  </si>
  <si>
    <t>Pestana Cambio de la tasa de huevos desclasificados</t>
  </si>
  <si>
    <t>Gráfico de masa de huevos: Evolución de la masa de huevos producida y FCR por kilogramo de huevos</t>
  </si>
  <si>
    <t>Pestaña de Síntesis: Resumen de desempeños técnicos y económicos cada 5 semanas</t>
  </si>
  <si>
    <t>2/ Pestaña Ingreso de datos de Crecimiento: Ingrese los datos diarios o semanales (de ser el caso, use las líneas escritas en color rojo para el total de la semana)</t>
  </si>
  <si>
    <t>4/ Pestaña de datos de Producción – Ingreso Semanal: Actualice los datos de producción semanal desde 17 semanas de edad.</t>
  </si>
  <si>
    <t>Masa acumul. / ♀</t>
  </si>
  <si>
    <t>Masa de huevos (st)</t>
  </si>
  <si>
    <t>Crecimiento</t>
  </si>
  <si>
    <t>Eggweight</t>
  </si>
  <si>
    <t>Number</t>
  </si>
  <si>
    <t>EN/ week</t>
  </si>
  <si>
    <t>MINI</t>
  </si>
  <si>
    <t>MAXI</t>
  </si>
  <si>
    <t>MINI GMQ SEM</t>
  </si>
  <si>
    <t xml:space="preserve">    </t>
  </si>
  <si>
    <t>PONTE</t>
  </si>
  <si>
    <t>VIABILITE</t>
  </si>
  <si>
    <t>Flock</t>
  </si>
  <si>
    <t>POIDS ŒUF</t>
  </si>
  <si>
    <t>POIDS CORPOREL</t>
  </si>
  <si>
    <t>DECLASSES</t>
  </si>
  <si>
    <t>Cum AEW</t>
  </si>
  <si>
    <t xml:space="preserve">Feed cons/kg </t>
  </si>
  <si>
    <t>PRODUCTION</t>
  </si>
  <si>
    <t>Consumption in g/bird</t>
  </si>
  <si>
    <t>/day/jour/dìa</t>
  </si>
  <si>
    <t>max.</t>
  </si>
  <si>
    <t>ELEVAGE</t>
  </si>
  <si>
    <t>Growing curve</t>
  </si>
  <si>
    <t>Onglet</t>
  </si>
  <si>
    <t>Production graph</t>
  </si>
  <si>
    <t>Second eggs graph</t>
  </si>
  <si>
    <t>Egg mass graph</t>
  </si>
  <si>
    <t>Masse/jour</t>
  </si>
  <si>
    <t>Age</t>
  </si>
  <si>
    <t>Edad</t>
  </si>
  <si>
    <t>Homogénéité</t>
  </si>
  <si>
    <t>Homogeneidad</t>
  </si>
  <si>
    <t>kg</t>
  </si>
  <si>
    <t>Total daily feed cons.</t>
  </si>
  <si>
    <t>Conso totale aliment</t>
  </si>
  <si>
    <t>g/hen/day</t>
  </si>
  <si>
    <t>g/poule/jour</t>
  </si>
  <si>
    <t>g/gallina/dìa</t>
  </si>
  <si>
    <t xml:space="preserve"> / ♀</t>
  </si>
  <si>
    <t>Day / ♀</t>
  </si>
  <si>
    <t>Jour / ♀</t>
  </si>
  <si>
    <t>Día / ♀</t>
  </si>
  <si>
    <t>/ Kg egg</t>
  </si>
  <si>
    <t>/ Kg œuf</t>
  </si>
  <si>
    <t>/ Kg huevo</t>
  </si>
  <si>
    <t>Line</t>
  </si>
  <si>
    <t>l</t>
  </si>
  <si>
    <t>l/day</t>
  </si>
  <si>
    <t>Total</t>
  </si>
  <si>
    <t>3 / Tab Production Data - Daily input: Enter the daily data of production from age 17 weeks</t>
  </si>
  <si>
    <t>3 / Onglet Production Data - Daily input : Saisir les données journalières de production dès la 17ème semaine</t>
  </si>
  <si>
    <t>3/ Pestaña de Datos de Producción – Ingreso Diario: Ingrese los datos diarios de producción desde 17 semanas de edad.</t>
  </si>
  <si>
    <t>1 / Onglet Data : Renseigner le lot (Souche, date de naissance, nombre, mode de production…). Ces informations sont nécessaires pour utiliser le programme.</t>
  </si>
  <si>
    <t>1 /Tab  Data: Complete the form with the flock information (Line, hatch date, numbers, system of production…). These informations are necessary to run the program</t>
  </si>
  <si>
    <t>l/jour</t>
  </si>
  <si>
    <t xml:space="preserve">IC </t>
  </si>
  <si>
    <t xml:space="preserve">C.A.H </t>
  </si>
  <si>
    <t xml:space="preserve">FCR </t>
  </si>
  <si>
    <t>g/ egg</t>
  </si>
  <si>
    <t>g/ œuf</t>
  </si>
  <si>
    <t>g/ huevos</t>
  </si>
  <si>
    <t>FCR</t>
  </si>
  <si>
    <t>g/jour</t>
  </si>
  <si>
    <t>Courbe de croissance en élevage</t>
  </si>
  <si>
    <t>Age (semaine)</t>
  </si>
  <si>
    <t>Poids corporel (g)</t>
  </si>
  <si>
    <t>Normes de production</t>
  </si>
  <si>
    <t>Poids corporel (g) / Taux de ponte et viabilité (%)</t>
  </si>
  <si>
    <t>Poids d'œuf (g)</t>
  </si>
  <si>
    <t>Evolution des œufs déclassés en ferme et centre de conditionnement</t>
  </si>
  <si>
    <t>Déclassés (%)</t>
  </si>
  <si>
    <t>Déclassés élevage (%)</t>
  </si>
  <si>
    <t>Déclassés centre de conditionnement (%)</t>
  </si>
  <si>
    <t>Total déclassés (%)</t>
  </si>
  <si>
    <t>Masse d'œuf/jour et indice de consomation</t>
  </si>
  <si>
    <t>Masse d'œuf/jour (g)</t>
  </si>
  <si>
    <t>IC (kg/kg)</t>
  </si>
  <si>
    <t>Standard masse d'œuf/jour</t>
  </si>
  <si>
    <t>Masse d'œuf/jour</t>
  </si>
  <si>
    <t>Indice de conso</t>
  </si>
  <si>
    <t>Edad (semana)</t>
  </si>
  <si>
    <t>Peso corporal (g)</t>
  </si>
  <si>
    <t>Normas de producción</t>
  </si>
  <si>
    <t>Peso corporal (g) / Producción y viabilidad (%)</t>
  </si>
  <si>
    <t>Peso de huevo (g)</t>
  </si>
  <si>
    <t>Masa de huevo/dìa (g)</t>
  </si>
  <si>
    <t>Eficiencia alimentaria (kg/kg)</t>
  </si>
  <si>
    <t>Standard egg mass/day</t>
  </si>
  <si>
    <t>Eficiencia alimentaria</t>
  </si>
  <si>
    <t>Rearing growing curve</t>
  </si>
  <si>
    <t>Age (weeks)</t>
  </si>
  <si>
    <t>Production chart</t>
  </si>
  <si>
    <t>Bodyweight (g) / Laying rate and liveability (%)</t>
  </si>
  <si>
    <t>Egg weight (g)</t>
  </si>
  <si>
    <t>Farm and packing station second eggs evolution</t>
  </si>
  <si>
    <t>Second grade (%)</t>
  </si>
  <si>
    <t>Farm second grade</t>
  </si>
  <si>
    <t>Packing station second grade</t>
  </si>
  <si>
    <t>Total second grade</t>
  </si>
  <si>
    <t>Egg mass/day and FCR</t>
  </si>
  <si>
    <t>Egg mass/day (g)</t>
  </si>
  <si>
    <t>FCR (kg/kg)</t>
  </si>
  <si>
    <t>Egg mass/day</t>
  </si>
  <si>
    <t>Curva de crecimiento</t>
  </si>
  <si>
    <t>Кривая роста в выращивании</t>
  </si>
  <si>
    <t>Возраст (недель)</t>
  </si>
  <si>
    <t>Живая масса (г)</t>
  </si>
  <si>
    <t>Кривая продуктивности</t>
  </si>
  <si>
    <t>Живая масса (г) / продуктивность и сохранность (%)</t>
  </si>
  <si>
    <t>Вес яйца (г)</t>
  </si>
  <si>
    <t>Ферма и место расфасовки яйца второго класса</t>
  </si>
  <si>
    <t>Второй класс (%)</t>
  </si>
  <si>
    <t>Второй класс в ферме</t>
  </si>
  <si>
    <t>Место расфасовки яйца второго класса</t>
  </si>
  <si>
    <t>Всего второго класса</t>
  </si>
  <si>
    <t>Масса яйца / день и РК</t>
  </si>
  <si>
    <t>Масса яйца / день (г)</t>
  </si>
  <si>
    <t>РК (кг/кг)</t>
  </si>
  <si>
    <t>Стандартная масса яйца/день</t>
  </si>
  <si>
    <t>Масса яйца/день</t>
  </si>
  <si>
    <t>РК</t>
  </si>
  <si>
    <r>
      <rPr>
        <sz val="10"/>
        <rFont val="Calibri"/>
        <family val="2"/>
      </rPr>
      <t>Р</t>
    </r>
    <r>
      <rPr>
        <sz val="10"/>
        <rFont val="Arial"/>
        <family val="2"/>
      </rPr>
      <t>усский</t>
    </r>
  </si>
  <si>
    <t>Кривая развития</t>
  </si>
  <si>
    <t>Период выращивания</t>
  </si>
  <si>
    <t>Страна</t>
  </si>
  <si>
    <t>Компания</t>
  </si>
  <si>
    <t>Ферма</t>
  </si>
  <si>
    <t>Птичник</t>
  </si>
  <si>
    <t>Линия</t>
  </si>
  <si>
    <t>Количество</t>
  </si>
  <si>
    <t>дата вывода</t>
  </si>
  <si>
    <t>Дата в 18 недель</t>
  </si>
  <si>
    <t>Дата в 40 недель</t>
  </si>
  <si>
    <t>Дата в 60 недель</t>
  </si>
  <si>
    <t>Период продуктивности</t>
  </si>
  <si>
    <t>Дата перевода</t>
  </si>
  <si>
    <t>Тип содержания</t>
  </si>
  <si>
    <t>Возраст</t>
  </si>
  <si>
    <t>Падеж</t>
  </si>
  <si>
    <t>Однородность (%)</t>
  </si>
  <si>
    <t>Общее потпребление корма в день (г)</t>
  </si>
  <si>
    <t>Замечания</t>
  </si>
  <si>
    <t>Дата начала недели</t>
  </si>
  <si>
    <t>Продуктивность</t>
  </si>
  <si>
    <t>Потребление корма</t>
  </si>
  <si>
    <t>Неделя</t>
  </si>
  <si>
    <t>В %</t>
  </si>
  <si>
    <t>Всего</t>
  </si>
  <si>
    <t>Дата взвешивания</t>
  </si>
  <si>
    <t>День / ♀</t>
  </si>
  <si>
    <t>Однородность</t>
  </si>
  <si>
    <t>Потреблено корма всего</t>
  </si>
  <si>
    <t>/яйцо</t>
  </si>
  <si>
    <t>/ Кг яйца</t>
  </si>
  <si>
    <t>Секунды (ферма)</t>
  </si>
  <si>
    <t>Яйсо второго класса в складе</t>
  </si>
  <si>
    <t>Вес яйца</t>
  </si>
  <si>
    <t>Потребление воды</t>
  </si>
  <si>
    <t>Сохранность</t>
  </si>
  <si>
    <t>Масса яйца</t>
  </si>
  <si>
    <t>Средний вес яйца (СВЯ)</t>
  </si>
  <si>
    <t>Масса яйца / неделя / ♀</t>
  </si>
  <si>
    <t>Масса яйца всего / ♀</t>
  </si>
  <si>
    <t>Суммарная средняя масса яйц</t>
  </si>
  <si>
    <t>Фактически</t>
  </si>
  <si>
    <t>День</t>
  </si>
  <si>
    <t>Соотношение вода/корм</t>
  </si>
  <si>
    <t>Яйца второго класса</t>
  </si>
  <si>
    <t>Центр</t>
  </si>
  <si>
    <t>Количество яйца/НН</t>
  </si>
  <si>
    <t>Количество яйца (ст.)</t>
  </si>
  <si>
    <t>Вес яйца (ст.)</t>
  </si>
  <si>
    <t>Масса яйца (ст.)</t>
  </si>
  <si>
    <t>Клетка</t>
  </si>
  <si>
    <t>С выгулом</t>
  </si>
  <si>
    <t>Органическое</t>
  </si>
  <si>
    <t>Вольер</t>
  </si>
  <si>
    <t>Пол</t>
  </si>
  <si>
    <t>г/курочка/день</t>
  </si>
  <si>
    <t>л/день</t>
  </si>
  <si>
    <t>г/яйцо</t>
  </si>
  <si>
    <t>г/день</t>
  </si>
  <si>
    <t>Выберите язык</t>
  </si>
  <si>
    <t>Дата обновления</t>
  </si>
  <si>
    <t>1/ Данные таблицы: заполните форму данными стада (линия, дата вывода, количество, система продуктивности …). Это информация необходима для работы программы</t>
  </si>
  <si>
    <t>2 / Таблица внесения данных выращивания: Внесите дневные или недельные данные (в этом случае, используйте ячейки в красном для данных всего за неделю)</t>
  </si>
  <si>
    <t>3 / Таблица данных продуктивности - Ежедневное внесение: Внесите суточную продуктивность в КОЛИЧЕСТВЕ с возраста 17 недель</t>
  </si>
  <si>
    <t>или</t>
  </si>
  <si>
    <t>4 / Таблица данных продуктивности - Еженедельное внесение: Обновляйте недельные данные с 17 недели возраста</t>
  </si>
  <si>
    <t>Обобщение продуктивности</t>
  </si>
  <si>
    <t>Все подсчеты и графики выполняется автоматически.</t>
  </si>
  <si>
    <t>Таблица данных выращивания - Таблица: Обозрение технических результатов периода выращивания</t>
  </si>
  <si>
    <t>Таблица кривой роста: Кривая роста</t>
  </si>
  <si>
    <t>Таблица данных продуктивности - Таблица: Обобщение технических результатов</t>
  </si>
  <si>
    <t>Таблица графиков продуктивности: Кривая продуктивности</t>
  </si>
  <si>
    <r>
      <t xml:space="preserve">Второй график яйца: развитие </t>
    </r>
    <r>
      <rPr>
        <sz val="10"/>
        <rFont val="Arial"/>
        <family val="2"/>
        <charset val="204"/>
      </rPr>
      <t>второго класса</t>
    </r>
  </si>
  <si>
    <t>График массы яйца: Эволюция произведенной массы яйца и РК на кг яйца</t>
  </si>
  <si>
    <t>Суммарная таблица: Обобщение технических и экономических данных продуктивности за период в 5 недель</t>
  </si>
  <si>
    <t>Как использовать этот файл?</t>
  </si>
  <si>
    <t>г</t>
  </si>
  <si>
    <t>л</t>
  </si>
  <si>
    <t>Общее</t>
  </si>
  <si>
    <t>кг</t>
  </si>
  <si>
    <t>кг/кг</t>
  </si>
  <si>
    <t>NOVOgen WHITE Light</t>
  </si>
  <si>
    <t>NOVOgen WHITE</t>
  </si>
  <si>
    <t>Nederlands</t>
  </si>
  <si>
    <t>Groeicurve opfok</t>
  </si>
  <si>
    <t>Leeftijd (weken)</t>
  </si>
  <si>
    <t>Lichaamsgewicht (g)</t>
  </si>
  <si>
    <t>Productie grafiek</t>
  </si>
  <si>
    <t>Lichaamsgewicht (g) / legpercentage en vitaliteit (%)</t>
  </si>
  <si>
    <t>Ei gewicht (g)</t>
  </si>
  <si>
    <t>Verloop van 2e soort eieren op koppelniveau en pakstation</t>
  </si>
  <si>
    <t>2e soort (%)</t>
  </si>
  <si>
    <t>2e soort koppelniveau</t>
  </si>
  <si>
    <t>2e soort pakstation</t>
  </si>
  <si>
    <t>Totaal 2e soort</t>
  </si>
  <si>
    <t>Ei massa / dag en FCR</t>
  </si>
  <si>
    <t>Ei massa / dag (g)</t>
  </si>
  <si>
    <t>FCR (Kg/Kg)</t>
  </si>
  <si>
    <t>Norm ei massa / dag</t>
  </si>
  <si>
    <t>Ei massa / dag</t>
  </si>
  <si>
    <t>Opfokperiode</t>
  </si>
  <si>
    <t>Land</t>
  </si>
  <si>
    <t>Firma</t>
  </si>
  <si>
    <t>Bedrijf</t>
  </si>
  <si>
    <t>Stal</t>
  </si>
  <si>
    <t>Ras</t>
  </si>
  <si>
    <t>Aantal</t>
  </si>
  <si>
    <t>Geboortedatum</t>
  </si>
  <si>
    <t>Datum 18 weken</t>
  </si>
  <si>
    <t>Datum 40 weken</t>
  </si>
  <si>
    <t>Datum 60 weken</t>
  </si>
  <si>
    <t>Legperiode</t>
  </si>
  <si>
    <t>Opzetdatum</t>
  </si>
  <si>
    <t>Productie systeem</t>
  </si>
  <si>
    <t>Leeftijd</t>
  </si>
  <si>
    <t>Uitval</t>
  </si>
  <si>
    <t>Lichaamsgewicht</t>
  </si>
  <si>
    <t>Uniformiteit</t>
  </si>
  <si>
    <t>Dagelijkse voeropname</t>
  </si>
  <si>
    <t>Opmerkingen</t>
  </si>
  <si>
    <t>Start datum van de week</t>
  </si>
  <si>
    <t>Productie</t>
  </si>
  <si>
    <t>Voerverbuik</t>
  </si>
  <si>
    <t>Datum van wegen</t>
  </si>
  <si>
    <t>Dag  / ♀</t>
  </si>
  <si>
    <t>Totaal verbuik</t>
  </si>
  <si>
    <t>/ Ei</t>
  </si>
  <si>
    <t>/ Kg ei</t>
  </si>
  <si>
    <t>2e soort (bedrijf)</t>
  </si>
  <si>
    <t>2e soort (pakstation)</t>
  </si>
  <si>
    <t>Ei gewicht</t>
  </si>
  <si>
    <t>Voer opname</t>
  </si>
  <si>
    <t>Water opname</t>
  </si>
  <si>
    <t>Vitaliteit</t>
  </si>
  <si>
    <t>Leg productie</t>
  </si>
  <si>
    <t>Ei massa</t>
  </si>
  <si>
    <t>G.E.G.</t>
  </si>
  <si>
    <t>Ei massa / Week / ♀</t>
  </si>
  <si>
    <t>Cumul. Ei massa / ♀</t>
  </si>
  <si>
    <t>Cumul. G.E.G</t>
  </si>
  <si>
    <t>Werkelijk</t>
  </si>
  <si>
    <t>Dag</t>
  </si>
  <si>
    <t>Ratio W/V</t>
  </si>
  <si>
    <t>2e soort</t>
  </si>
  <si>
    <t>Pakstation</t>
  </si>
  <si>
    <t>Ei aantal (/hh)</t>
  </si>
  <si>
    <t>Ei aantal (stuks)</t>
  </si>
  <si>
    <t>Eigewicht (stuk)</t>
  </si>
  <si>
    <t>Ei massa (stuk)</t>
  </si>
  <si>
    <t>Kolonie</t>
  </si>
  <si>
    <t>Freiland</t>
  </si>
  <si>
    <t>Scharrel</t>
  </si>
  <si>
    <t>g/hen/dag</t>
  </si>
  <si>
    <t>l/dag</t>
  </si>
  <si>
    <t>g/ei</t>
  </si>
  <si>
    <t>g/dag</t>
  </si>
  <si>
    <t>Totaal</t>
  </si>
  <si>
    <t>Kies uw taal</t>
  </si>
  <si>
    <t>Input van data</t>
  </si>
  <si>
    <t>1 / Tab Data: Vul dit tabblad in met de algemene informatie van het koppel (ras, geboortedatum, aantal, productie systeem…). Deze informatie is nodig om het programma te gebruiken</t>
  </si>
  <si>
    <t>2 / Tab Opfok Data input: Vul de dagelijkse of wekelijkse  data in (in dat laatse geval, gebruik de rood gearceerde regels om het totaal van de week in te vullen)</t>
  </si>
  <si>
    <t>3 / Tab Productie Data - Dagelijkse input: vul de dagelijkse productie data in vanaf 17 weken</t>
  </si>
  <si>
    <t>OF</t>
  </si>
  <si>
    <t>4 / Tab Productie Data - Wekelijkse input: vul de wekelijkse productie data in vanaf 17 weken leeftijd</t>
  </si>
  <si>
    <t>Productie overzicht</t>
  </si>
  <si>
    <t>Alle berekeningen en grafieken verschijnen automatisch</t>
  </si>
  <si>
    <t>Tab Opfok Data - Tabel: overzicht van de technische resultaten van de opfokperiode</t>
  </si>
  <si>
    <t>Tab Groei curve tab: groei curve</t>
  </si>
  <si>
    <t>Tab Productie Data -Tabel: samenvatting van de technische resultaten</t>
  </si>
  <si>
    <t>Tab Productie grafiek: Productie curve</t>
  </si>
  <si>
    <t>Grafiek 2e soort: Verloop van 2e soort eieren</t>
  </si>
  <si>
    <t>Grafiek Eimassa: Verloop van geproduceerde eimassa en FCR per kg ei</t>
  </si>
  <si>
    <t>Tab Overzicht: Samenvatting van technische resultaten per periode van 5 weken</t>
  </si>
  <si>
    <t>Hoe dit bestand te gebruiken?</t>
  </si>
  <si>
    <t>Week beginning date</t>
  </si>
  <si>
    <t>Date début de semaine</t>
  </si>
  <si>
    <t>Min.</t>
  </si>
  <si>
    <t>Max.</t>
  </si>
  <si>
    <r>
      <t>M</t>
    </r>
    <r>
      <rPr>
        <sz val="10"/>
        <rFont val="Calibri"/>
        <family val="2"/>
      </rPr>
      <t>í</t>
    </r>
    <r>
      <rPr>
        <sz val="10"/>
        <rFont val="Arial"/>
        <family val="2"/>
      </rPr>
      <t>n.</t>
    </r>
  </si>
  <si>
    <t>Máx.</t>
  </si>
  <si>
    <t>мини</t>
  </si>
  <si>
    <t>Макс</t>
  </si>
  <si>
    <t>Cuadro de resultados</t>
  </si>
  <si>
    <t>País</t>
  </si>
  <si>
    <t>Empresa</t>
  </si>
  <si>
    <t>Línea</t>
  </si>
  <si>
    <t>Fecha de 18 semanas</t>
  </si>
  <si>
    <t>Fecha de 40 semanas</t>
  </si>
  <si>
    <t>Fecha de 60 semanas</t>
  </si>
  <si>
    <t>Tipo de granja</t>
  </si>
  <si>
    <t>Fecha inicio de semana</t>
  </si>
  <si>
    <t>Peso edad</t>
  </si>
  <si>
    <t>Desclasificados granja</t>
  </si>
  <si>
    <t>Desclasificados planta</t>
  </si>
  <si>
    <t>P.M.H. acumulado</t>
  </si>
  <si>
    <t>Orgánico</t>
  </si>
  <si>
    <t>l/día</t>
  </si>
  <si>
    <t>g/día</t>
  </si>
  <si>
    <t>Elija el idioma</t>
  </si>
  <si>
    <t>Ingrese en el formulario con los datos de producción</t>
  </si>
  <si>
    <t>1 / Pestaña Data : Ingresa el lote (Linéas, fecha de nacimiento, número, sistema de producción …). Estas informaciones son necesarias para utilizar el programa</t>
  </si>
  <si>
    <t>Síntesis de Desempeño</t>
  </si>
  <si>
    <t>Evolución de los huevos declasificados en la granja y la planta</t>
  </si>
  <si>
    <t>Declasificados (%)</t>
  </si>
  <si>
    <t>Declasificados de granja</t>
  </si>
  <si>
    <t>Declasificados de la planta</t>
  </si>
  <si>
    <t>Total declasificados</t>
  </si>
  <si>
    <t>Masa de huevo/día y eficiencia alimentaria</t>
  </si>
  <si>
    <t>Norma de masa de huevo/día</t>
  </si>
  <si>
    <t>Norme</t>
  </si>
  <si>
    <t>Norma</t>
  </si>
  <si>
    <t>Norm</t>
  </si>
  <si>
    <t>Стандарт</t>
  </si>
  <si>
    <t>Polski</t>
  </si>
  <si>
    <t>Krzywa wzrostu odchowu</t>
  </si>
  <si>
    <t>Wiek (w tygodniach)</t>
  </si>
  <si>
    <t>Waga ciała (g)</t>
  </si>
  <si>
    <t xml:space="preserve">Wykres produkcji </t>
  </si>
  <si>
    <t>Waga ciała (g) / Nieśność oraz żywotność (%)</t>
  </si>
  <si>
    <t>Waga jaja (g)</t>
  </si>
  <si>
    <t>Historia jaj 2 klasy na fermie i pakowni</t>
  </si>
  <si>
    <t>Jaja 2 klasy  (%)</t>
  </si>
  <si>
    <t xml:space="preserve">Jaja 2 klasy na fermie </t>
  </si>
  <si>
    <t>Jaja 2 klasy na pakowni</t>
  </si>
  <si>
    <t>Suma jaj 2 klasy</t>
  </si>
  <si>
    <t>Masa jaj/dzień oraz konwersja paszy</t>
  </si>
  <si>
    <t>Masa jaj/dzień (g)</t>
  </si>
  <si>
    <t>Konwersja paszy (kg/kg)</t>
  </si>
  <si>
    <t>Norma masa jaj/dzień</t>
  </si>
  <si>
    <t>Masa jaj/dzień</t>
  </si>
  <si>
    <t>Konwersja paszy</t>
  </si>
  <si>
    <t>Wykres</t>
  </si>
  <si>
    <t>Czas odchowu</t>
  </si>
  <si>
    <t>Kraj</t>
  </si>
  <si>
    <t>Ferma</t>
  </si>
  <si>
    <t>Kurnik</t>
  </si>
  <si>
    <t>Rasa</t>
  </si>
  <si>
    <t>Ilość</t>
  </si>
  <si>
    <t>Data wylęgu</t>
  </si>
  <si>
    <t>Data ukończenia 18 tygodnia</t>
  </si>
  <si>
    <t>Data ukończenia 40 tygodnia</t>
  </si>
  <si>
    <t>Data ukończenia 60 tygodnia</t>
  </si>
  <si>
    <t>Okres produkcji</t>
  </si>
  <si>
    <t>Data przeniesienia</t>
  </si>
  <si>
    <t>System produkcji</t>
  </si>
  <si>
    <t>Wiek</t>
  </si>
  <si>
    <t>Upadki</t>
  </si>
  <si>
    <t>Waga ciała</t>
  </si>
  <si>
    <t>Wyrównanie</t>
  </si>
  <si>
    <t>Dzienny pobór paszy</t>
  </si>
  <si>
    <t>Komentarze</t>
  </si>
  <si>
    <t>Data początku tygodnia życia</t>
  </si>
  <si>
    <t>Produkcja</t>
  </si>
  <si>
    <t>Konsumpcja paszy</t>
  </si>
  <si>
    <t>Tydzień</t>
  </si>
  <si>
    <t>w %</t>
  </si>
  <si>
    <t>Łącznie</t>
  </si>
  <si>
    <t>Data ważenia</t>
  </si>
  <si>
    <t>Dzień  / ♀</t>
  </si>
  <si>
    <t>Maks.</t>
  </si>
  <si>
    <t>Spożycie ogółem</t>
  </si>
  <si>
    <t>/na 1 jajo</t>
  </si>
  <si>
    <t>/ Kg jaj</t>
  </si>
  <si>
    <t>Jaja 2 klasy na kurniku</t>
  </si>
  <si>
    <t>Waga jaja</t>
  </si>
  <si>
    <t>Konsumpcja wody</t>
  </si>
  <si>
    <t>Żywotność</t>
  </si>
  <si>
    <t>Produkcja jaj</t>
  </si>
  <si>
    <t>Masa jaj</t>
  </si>
  <si>
    <t xml:space="preserve">Rzeczywista waga jaj </t>
  </si>
  <si>
    <t>Masa jaj / Tydzień / ♀</t>
  </si>
  <si>
    <t>Łączna masa jaj / ♀</t>
  </si>
  <si>
    <t>Łączna rzeczywista waga jaj</t>
  </si>
  <si>
    <t>Rzeczywiste</t>
  </si>
  <si>
    <t>Dzień</t>
  </si>
  <si>
    <t>Dzienne spożycie wody/paszy</t>
  </si>
  <si>
    <t>Drugi sort</t>
  </si>
  <si>
    <t>Pakownia</t>
  </si>
  <si>
    <t>Liczba jaj (/hh)</t>
  </si>
  <si>
    <t>Liczba jaj (sztuki)</t>
  </si>
  <si>
    <t>Średnia waga jaja</t>
  </si>
  <si>
    <t>Masa jaja (sztuka)</t>
  </si>
  <si>
    <t xml:space="preserve">Konwersja paszy </t>
  </si>
  <si>
    <t>Klatka</t>
  </si>
  <si>
    <t>Wolny wybieg</t>
  </si>
  <si>
    <t>Ekologiczny</t>
  </si>
  <si>
    <t>Woliera</t>
  </si>
  <si>
    <t>Ściółka</t>
  </si>
  <si>
    <t>g/kurę/dzień</t>
  </si>
  <si>
    <t>l/dzień</t>
  </si>
  <si>
    <t>g/jajo</t>
  </si>
  <si>
    <t>g/dzień</t>
  </si>
  <si>
    <t>całkowity</t>
  </si>
  <si>
    <t>Wybierz język</t>
  </si>
  <si>
    <t>Aktualizacja danych</t>
  </si>
  <si>
    <t>1 / Tabela danych: Wypełnij informacjami o stadzie (rasa, data wylęgu, ilość, system produkcji….) Te informacje są niezbędne do uruchomienia programu</t>
  </si>
  <si>
    <t>2 / Wprowadzanie danych odchowu: Wprowadzić dzienne lub tygodniowe dane (w przypadku wprowadzania danych tygodniowych użyć linii napisanych na czerwono)</t>
  </si>
  <si>
    <t>3/ Tabela danych produkcji - dzienne rozpoczęcia: Wprowadź dane dzienne z produkcji w wieku 17 tygodni</t>
  </si>
  <si>
    <t>lub</t>
  </si>
  <si>
    <t>3/ Tabela danych produkcji - Tygodniowe rozpoczęcia: Wprowadź dane tygodniowe z produkcji w wieku 17 tygodni</t>
  </si>
  <si>
    <t>Przegląd produkcji</t>
  </si>
  <si>
    <t>Wszystkie obliczenia oraz wykres wykonywane są automatycznie</t>
  </si>
  <si>
    <t>Tabela dane odchowu - Tabela: zestawienie wyników technicznych podczas odchowu</t>
  </si>
  <si>
    <t>Tabela wykresu wzrostu: Wykres wzrostu</t>
  </si>
  <si>
    <t>Dane produkcji: Tabela: Podsumowanie wyników technicznych</t>
  </si>
  <si>
    <t>Wykres produkcji: Krzywa produkcji</t>
  </si>
  <si>
    <t>Jaja 2 klasy wykres: Ilość jaj 2 klasy</t>
  </si>
  <si>
    <t>Masa jaj wykres: Rozwój produkcji masy jaj i konwersja paszy na kilogram jaj</t>
  </si>
  <si>
    <t>Podsumowanie: Podsumowanie wyników technicznych i ekonomicznych za okres 5 tygodni</t>
  </si>
  <si>
    <t>Jak używać tego pliku?</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</si>
</sst>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3" formatCode="_-* #,##0.00\ _€_-;\-* #,##0.00\ _€_-;_-* &quot;-&quot;??\ _€_-;_-@_-"/>
    <numFmt numFmtId="164" formatCode="_-* #,##0.0\ _€_-;\-* #,##0.0\ _€_-;_-* &quot;-&quot;??\ _€_-;_-@_-"/>
    <numFmt numFmtId="165" formatCode="_-* #,##0\ _€_-;\-* #,##0\ _€_-;_-* &quot;-&quot;??\ _€_-;_-@_-"/>
    <numFmt numFmtId="166" formatCode="[$-40C]dddd"/>
    <numFmt numFmtId="167" formatCode="[$-40C]d\-mmm\-yy;@"/>
    <numFmt numFmtId="168" formatCode="#,##0.00_ ;\-#,##0.00\ "/>
    <numFmt numFmtId="169" formatCode="#,##0.0_ ;\-#,##0.0\ "/>
    <numFmt numFmtId="170" formatCode="0.0%"/>
    <numFmt numFmtId="171" formatCode="0.0"/>
    <numFmt numFmtId="172" formatCode="#,##0_ ;\-#,##0\ "/>
    <numFmt numFmtId="173" formatCode="0.000"/>
    <numFmt numFmtId="174" formatCode="0.00000"/>
    <numFmt numFmtId="175" formatCode="0.0000%"/>
    <numFmt numFmtId="176" formatCode="_-* #,##0.0\ _€_-;\-* #,##0.0\ _€_-;_-* &quot;-&quot;?\ _€_-;_-@_-"/>
  </numFmts>
  <fonts count="62"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b/>
      <i/>
      <sz val="14"/>
      <name val="Arial"/>
      <family val="2"/>
    </font>
    <font>
      <b/>
      <sz val="10"/>
      <name val="Arial"/>
      <family val="2"/>
    </font>
    <font>
      <sz val="10"/>
      <name val="Arial"/>
      <family val="2"/>
    </font>
    <font>
      <sz val="18"/>
      <name val="Arial"/>
      <family val="2"/>
    </font>
    <font>
      <u/>
      <sz val="10"/>
      <color indexed="12"/>
      <name val="Arial"/>
      <family val="2"/>
    </font>
    <font>
      <b/>
      <sz val="12"/>
      <name val="Arial"/>
      <family val="2"/>
    </font>
    <font>
      <sz val="8"/>
      <name val="Arial"/>
      <family val="2"/>
    </font>
    <font>
      <b/>
      <sz val="20"/>
      <name val="Arial"/>
      <family val="2"/>
    </font>
    <font>
      <sz val="10"/>
      <name val="Arial"/>
      <family val="2"/>
    </font>
    <font>
      <sz val="24"/>
      <name val="Arial"/>
      <family val="2"/>
    </font>
    <font>
      <sz val="26"/>
      <name val="Arial"/>
      <family val="2"/>
    </font>
    <font>
      <sz val="22"/>
      <name val="Arial"/>
      <family val="2"/>
    </font>
    <font>
      <sz val="12"/>
      <color indexed="56"/>
      <name val="Arial"/>
      <family val="2"/>
    </font>
    <font>
      <sz val="9"/>
      <name val="Arial"/>
      <family val="2"/>
    </font>
    <font>
      <b/>
      <sz val="9"/>
      <name val="Arial"/>
      <family val="2"/>
    </font>
    <font>
      <sz val="7"/>
      <name val="Arial"/>
      <family val="2"/>
    </font>
    <font>
      <sz val="12"/>
      <name val="Arial"/>
      <family val="2"/>
    </font>
    <font>
      <b/>
      <sz val="14"/>
      <name val="Arial"/>
      <family val="2"/>
    </font>
    <font>
      <u/>
      <sz val="14"/>
      <name val="Arial"/>
      <family val="2"/>
    </font>
    <font>
      <b/>
      <sz val="10"/>
      <color rgb="FFC00000"/>
      <name val="Arial"/>
      <family val="2"/>
    </font>
    <font>
      <sz val="10"/>
      <color rgb="FF002060"/>
      <name val="Arial"/>
      <family val="2"/>
    </font>
    <font>
      <sz val="9"/>
      <color rgb="FF002060"/>
      <name val="Arial"/>
      <family val="2"/>
    </font>
    <font>
      <b/>
      <sz val="10"/>
      <color rgb="FF002060"/>
      <name val="Arial"/>
      <family val="2"/>
    </font>
    <font>
      <b/>
      <sz val="10"/>
      <color rgb="FFFF0000"/>
      <name val="Arial"/>
      <family val="2"/>
    </font>
    <font>
      <b/>
      <sz val="12"/>
      <color rgb="FF002060"/>
      <name val="Arial"/>
      <family val="2"/>
    </font>
    <font>
      <sz val="10"/>
      <color theme="0"/>
      <name val="Arial"/>
      <family val="2"/>
    </font>
    <font>
      <sz val="12"/>
      <color rgb="FF002060"/>
      <name val="Arial"/>
      <family val="2"/>
    </font>
    <font>
      <b/>
      <sz val="9"/>
      <color rgb="FF002060"/>
      <name val="Arial"/>
      <family val="2"/>
    </font>
    <font>
      <sz val="8"/>
      <color rgb="FF002060"/>
      <name val="Arial"/>
      <family val="2"/>
    </font>
    <font>
      <sz val="10"/>
      <color rgb="FFC00000"/>
      <name val="Arial"/>
      <family val="2"/>
    </font>
    <font>
      <b/>
      <sz val="9"/>
      <color rgb="FFFF9900"/>
      <name val="Arial"/>
      <family val="2"/>
    </font>
    <font>
      <sz val="10"/>
      <color theme="1"/>
      <name val="Arial"/>
      <family val="2"/>
    </font>
    <font>
      <sz val="10"/>
      <color rgb="FFFF0000"/>
      <name val="Arial"/>
      <family val="2"/>
    </font>
    <font>
      <b/>
      <sz val="20"/>
      <color rgb="FF002060"/>
      <name val="Arial"/>
      <family val="2"/>
    </font>
    <font>
      <b/>
      <sz val="26"/>
      <color rgb="FF002060"/>
      <name val="Arial"/>
      <family val="2"/>
    </font>
    <font>
      <b/>
      <sz val="16"/>
      <color rgb="FF002060"/>
      <name val="Arial"/>
      <family val="2"/>
    </font>
    <font>
      <sz val="20"/>
      <color rgb="FF002060"/>
      <name val="Arial"/>
      <family val="2"/>
    </font>
    <font>
      <b/>
      <sz val="24"/>
      <color rgb="FF002060"/>
      <name val="Arial"/>
      <family val="2"/>
    </font>
    <font>
      <sz val="18"/>
      <color rgb="FF002060"/>
      <name val="Arial"/>
      <family val="2"/>
    </font>
    <font>
      <sz val="22"/>
      <color rgb="FF002060"/>
      <name val="Arial"/>
      <family val="2"/>
    </font>
    <font>
      <sz val="10"/>
      <name val="Arial"/>
      <family val="2"/>
    </font>
    <font>
      <b/>
      <sz val="11"/>
      <name val="Arial"/>
      <family val="2"/>
    </font>
    <font>
      <b/>
      <sz val="11"/>
      <color rgb="FFE46D0A"/>
      <name val="Arial"/>
      <family val="2"/>
    </font>
    <font>
      <b/>
      <sz val="11"/>
      <color rgb="FFC00000"/>
      <name val="Arial"/>
      <family val="2"/>
    </font>
    <font>
      <sz val="11"/>
      <color rgb="FFE46D0A"/>
      <name val="Arial"/>
      <family val="2"/>
    </font>
    <font>
      <sz val="14"/>
      <name val="Arial"/>
      <family val="2"/>
    </font>
    <font>
      <b/>
      <sz val="14"/>
      <color rgb="FF002060"/>
      <name val="Arial"/>
      <family val="2"/>
    </font>
    <font>
      <sz val="13"/>
      <color rgb="FF002060"/>
      <name val="Arial"/>
      <family val="2"/>
    </font>
    <font>
      <b/>
      <sz val="13"/>
      <color rgb="FFC00000"/>
      <name val="Arial"/>
      <family val="2"/>
    </font>
    <font>
      <b/>
      <sz val="13"/>
      <color rgb="FF002060"/>
      <name val="Arial"/>
      <family val="2"/>
    </font>
    <font>
      <sz val="13"/>
      <name val="Arial"/>
      <family val="2"/>
    </font>
    <font>
      <i/>
      <sz val="12"/>
      <color rgb="FF002060"/>
      <name val="Arial"/>
      <family val="2"/>
    </font>
    <font>
      <b/>
      <sz val="18"/>
      <color rgb="FF002060"/>
      <name val="Arial"/>
      <family val="2"/>
    </font>
    <font>
      <sz val="26"/>
      <color rgb="FF002060"/>
      <name val="Arial"/>
      <family val="2"/>
    </font>
    <font>
      <sz val="10"/>
      <name val="Calibri"/>
      <family val="2"/>
    </font>
    <font>
      <sz val="10"/>
      <name val="Arial"/>
      <family val="2"/>
      <charset val="204"/>
    </font>
    <font>
      <sz val="11"/>
      <name val="Calibri"/>
      <family val="2"/>
      <scheme val="minor"/>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3FAFF"/>
        <bgColor indexed="64"/>
      </patternFill>
    </fill>
    <fill>
      <patternFill patternType="solid">
        <fgColor rgb="FFEBF7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s>
  <borders count="70">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0" fontId="7" fillId="0" borderId="0"/>
    <xf numFmtId="0" fontId="2" fillId="0" borderId="0"/>
    <xf numFmtId="0" fontId="2" fillId="0" borderId="0"/>
    <xf numFmtId="9" fontId="2" fillId="0" borderId="0" applyFont="0" applyFill="0" applyBorder="0" applyAlignment="0" applyProtection="0"/>
    <xf numFmtId="0" fontId="1" fillId="0" borderId="0"/>
  </cellStyleXfs>
  <cellXfs count="544">
    <xf numFmtId="0" fontId="0" fillId="0" borderId="0" xfId="0"/>
    <xf numFmtId="0" fontId="7" fillId="0" borderId="0" xfId="7"/>
    <xf numFmtId="165" fontId="7" fillId="0" borderId="0" xfId="7" applyNumberFormat="1"/>
    <xf numFmtId="43" fontId="7" fillId="0" borderId="0" xfId="7" applyNumberFormat="1"/>
    <xf numFmtId="0" fontId="2" fillId="0" borderId="0" xfId="0" applyFont="1"/>
    <xf numFmtId="2" fontId="25" fillId="0" borderId="5" xfId="0" applyNumberFormat="1" applyFont="1" applyBorder="1" applyProtection="1">
      <protection locked="0"/>
    </xf>
    <xf numFmtId="165" fontId="0" fillId="0" borderId="0" xfId="3" applyNumberFormat="1" applyFont="1"/>
    <xf numFmtId="43" fontId="6" fillId="0" borderId="0" xfId="3" applyFont="1"/>
    <xf numFmtId="0" fontId="18" fillId="0" borderId="0" xfId="8" applyFont="1"/>
    <xf numFmtId="0" fontId="18" fillId="0" borderId="9" xfId="8" applyFont="1" applyBorder="1"/>
    <xf numFmtId="0" fontId="18" fillId="0" borderId="3" xfId="8" applyFont="1" applyBorder="1"/>
    <xf numFmtId="0" fontId="19" fillId="0" borderId="3" xfId="8" applyFont="1" applyBorder="1" applyAlignment="1">
      <alignment horizontal="center"/>
    </xf>
    <xf numFmtId="165" fontId="18" fillId="0" borderId="9" xfId="5" applyNumberFormat="1" applyFont="1" applyBorder="1"/>
    <xf numFmtId="165" fontId="18" fillId="0" borderId="3" xfId="5" applyNumberFormat="1" applyFont="1" applyBorder="1"/>
    <xf numFmtId="164" fontId="18" fillId="0" borderId="3" xfId="5" applyNumberFormat="1" applyFont="1" applyBorder="1"/>
    <xf numFmtId="43" fontId="18" fillId="0" borderId="3" xfId="5" applyNumberFormat="1" applyFont="1" applyBorder="1"/>
    <xf numFmtId="0" fontId="18" fillId="2" borderId="3" xfId="8" applyFont="1" applyFill="1" applyBorder="1"/>
    <xf numFmtId="165" fontId="18" fillId="2" borderId="3" xfId="5" applyNumberFormat="1" applyFont="1" applyFill="1" applyBorder="1"/>
    <xf numFmtId="164" fontId="18" fillId="2" borderId="3" xfId="5" applyNumberFormat="1" applyFont="1" applyFill="1" applyBorder="1"/>
    <xf numFmtId="43" fontId="18" fillId="2" borderId="3" xfId="5" applyNumberFormat="1" applyFont="1" applyFill="1" applyBorder="1"/>
    <xf numFmtId="0" fontId="18" fillId="0" borderId="10" xfId="8" applyFont="1" applyBorder="1"/>
    <xf numFmtId="165" fontId="18" fillId="0" borderId="10" xfId="5" applyNumberFormat="1" applyFont="1" applyBorder="1"/>
    <xf numFmtId="164" fontId="18" fillId="0" borderId="10" xfId="5" applyNumberFormat="1" applyFont="1" applyBorder="1"/>
    <xf numFmtId="43" fontId="18" fillId="0" borderId="10" xfId="5" applyNumberFormat="1" applyFont="1" applyBorder="1"/>
    <xf numFmtId="0" fontId="2" fillId="0" borderId="0" xfId="0" applyFont="1" applyAlignment="1">
      <alignment horizontal="center"/>
    </xf>
    <xf numFmtId="0" fontId="7" fillId="0" borderId="0" xfId="7" applyProtection="1">
      <protection hidden="1"/>
    </xf>
    <xf numFmtId="14" fontId="7" fillId="0" borderId="0" xfId="7" applyNumberFormat="1" applyProtection="1">
      <protection hidden="1"/>
    </xf>
    <xf numFmtId="0" fontId="11" fillId="0" borderId="0" xfId="7" applyFont="1" applyAlignment="1" applyProtection="1">
      <alignment horizontal="center"/>
      <protection hidden="1"/>
    </xf>
    <xf numFmtId="0" fontId="11" fillId="0" borderId="0" xfId="7" applyFont="1" applyProtection="1">
      <protection hidden="1"/>
    </xf>
    <xf numFmtId="43" fontId="33" fillId="0" borderId="0" xfId="3" applyNumberFormat="1" applyFont="1" applyFill="1" applyBorder="1" applyAlignment="1" applyProtection="1">
      <alignment horizontal="center"/>
      <protection hidden="1"/>
    </xf>
    <xf numFmtId="0" fontId="24" fillId="4" borderId="5" xfId="7" applyFont="1" applyFill="1" applyBorder="1" applyAlignment="1" applyProtection="1">
      <alignment horizontal="center"/>
      <protection hidden="1"/>
    </xf>
    <xf numFmtId="165" fontId="24" fillId="4" borderId="5" xfId="3" applyNumberFormat="1" applyFont="1" applyFill="1" applyBorder="1" applyAlignment="1" applyProtection="1">
      <alignment horizontal="center"/>
      <protection hidden="1"/>
    </xf>
    <xf numFmtId="171" fontId="24" fillId="4" borderId="5" xfId="3" applyNumberFormat="1" applyFont="1" applyFill="1" applyBorder="1" applyAlignment="1" applyProtection="1">
      <alignment horizontal="center"/>
      <protection hidden="1"/>
    </xf>
    <xf numFmtId="165" fontId="25" fillId="0" borderId="47" xfId="3" applyNumberFormat="1" applyFont="1" applyFill="1" applyBorder="1" applyAlignment="1" applyProtection="1">
      <alignment horizontal="center" vertical="center"/>
      <protection hidden="1"/>
    </xf>
    <xf numFmtId="10" fontId="24" fillId="0" borderId="48" xfId="10" applyNumberFormat="1" applyFont="1" applyFill="1" applyBorder="1" applyAlignment="1" applyProtection="1">
      <alignment horizontal="center" vertical="center"/>
      <protection hidden="1"/>
    </xf>
    <xf numFmtId="165" fontId="25" fillId="0" borderId="48" xfId="3" applyNumberFormat="1" applyFont="1" applyFill="1" applyBorder="1" applyAlignment="1" applyProtection="1">
      <alignment horizontal="center" vertical="center"/>
      <protection hidden="1"/>
    </xf>
    <xf numFmtId="165" fontId="25" fillId="0" borderId="49" xfId="3" applyNumberFormat="1" applyFont="1" applyFill="1" applyBorder="1" applyAlignment="1" applyProtection="1">
      <alignment horizontal="center" vertical="center"/>
      <protection hidden="1"/>
    </xf>
    <xf numFmtId="165" fontId="25" fillId="0" borderId="47" xfId="0" applyNumberFormat="1" applyFont="1" applyFill="1" applyBorder="1" applyAlignment="1" applyProtection="1">
      <alignment horizontal="center" vertical="center"/>
      <protection hidden="1"/>
    </xf>
    <xf numFmtId="165" fontId="27" fillId="0" borderId="48" xfId="3" applyNumberFormat="1" applyFont="1" applyFill="1" applyBorder="1" applyAlignment="1" applyProtection="1">
      <alignment horizontal="center" vertical="center"/>
      <protection hidden="1"/>
    </xf>
    <xf numFmtId="168" fontId="27" fillId="0" borderId="48" xfId="3" applyNumberFormat="1" applyFont="1" applyFill="1" applyBorder="1" applyAlignment="1" applyProtection="1">
      <alignment horizontal="center" vertical="center"/>
      <protection hidden="1"/>
    </xf>
    <xf numFmtId="165" fontId="24" fillId="0" borderId="48" xfId="3" applyNumberFormat="1" applyFont="1" applyFill="1" applyBorder="1" applyAlignment="1" applyProtection="1">
      <alignment horizontal="center" vertical="center"/>
      <protection hidden="1"/>
    </xf>
    <xf numFmtId="165" fontId="25" fillId="0" borderId="7" xfId="3" applyNumberFormat="1" applyFont="1" applyFill="1" applyBorder="1" applyAlignment="1" applyProtection="1">
      <alignment horizontal="center" vertical="center"/>
      <protection hidden="1"/>
    </xf>
    <xf numFmtId="10" fontId="24" fillId="0" borderId="2" xfId="10" applyNumberFormat="1" applyFont="1" applyFill="1" applyBorder="1" applyAlignment="1" applyProtection="1">
      <alignment horizontal="center" vertical="center"/>
      <protection hidden="1"/>
    </xf>
    <xf numFmtId="165" fontId="25" fillId="0" borderId="2" xfId="3" applyNumberFormat="1" applyFont="1" applyFill="1" applyBorder="1" applyAlignment="1" applyProtection="1">
      <alignment horizontal="center" vertical="center"/>
      <protection hidden="1"/>
    </xf>
    <xf numFmtId="165" fontId="25" fillId="0" borderId="8" xfId="3" applyNumberFormat="1" applyFont="1" applyFill="1" applyBorder="1" applyAlignment="1" applyProtection="1">
      <alignment horizontal="center" vertical="center"/>
      <protection hidden="1"/>
    </xf>
    <xf numFmtId="165" fontId="25" fillId="0" borderId="7" xfId="0" applyNumberFormat="1" applyFont="1" applyFill="1" applyBorder="1" applyAlignment="1" applyProtection="1">
      <alignment horizontal="center" vertical="center"/>
      <protection hidden="1"/>
    </xf>
    <xf numFmtId="165" fontId="27" fillId="0" borderId="2" xfId="3" applyNumberFormat="1" applyFont="1" applyFill="1" applyBorder="1" applyAlignment="1" applyProtection="1">
      <alignment horizontal="center" vertical="center"/>
      <protection hidden="1"/>
    </xf>
    <xf numFmtId="168" fontId="27" fillId="0" borderId="2" xfId="3" applyNumberFormat="1" applyFont="1" applyFill="1" applyBorder="1" applyAlignment="1" applyProtection="1">
      <alignment horizontal="center" vertical="center"/>
      <protection hidden="1"/>
    </xf>
    <xf numFmtId="165" fontId="24" fillId="0" borderId="2" xfId="3" applyNumberFormat="1" applyFont="1" applyFill="1" applyBorder="1" applyAlignment="1" applyProtection="1">
      <alignment horizontal="center" vertical="center"/>
      <protection hidden="1"/>
    </xf>
    <xf numFmtId="165" fontId="25" fillId="0" borderId="33" xfId="3" applyNumberFormat="1" applyFont="1" applyFill="1" applyBorder="1" applyAlignment="1" applyProtection="1">
      <alignment horizontal="center" vertical="center"/>
      <protection hidden="1"/>
    </xf>
    <xf numFmtId="10" fontId="24" fillId="0" borderId="34" xfId="10" applyNumberFormat="1" applyFont="1" applyFill="1" applyBorder="1" applyAlignment="1" applyProtection="1">
      <alignment horizontal="center" vertical="center"/>
      <protection hidden="1"/>
    </xf>
    <xf numFmtId="165" fontId="25" fillId="0" borderId="34" xfId="3" applyNumberFormat="1" applyFont="1" applyFill="1" applyBorder="1" applyAlignment="1" applyProtection="1">
      <alignment horizontal="center" vertical="center"/>
      <protection hidden="1"/>
    </xf>
    <xf numFmtId="165" fontId="25" fillId="0" borderId="35" xfId="3" applyNumberFormat="1" applyFont="1" applyFill="1" applyBorder="1" applyAlignment="1" applyProtection="1">
      <alignment horizontal="center" vertical="center"/>
      <protection hidden="1"/>
    </xf>
    <xf numFmtId="165" fontId="25" fillId="0" borderId="33" xfId="0" applyNumberFormat="1" applyFont="1" applyFill="1" applyBorder="1" applyAlignment="1" applyProtection="1">
      <alignment horizontal="center" vertical="center"/>
      <protection hidden="1"/>
    </xf>
    <xf numFmtId="165" fontId="27" fillId="0" borderId="34" xfId="3" applyNumberFormat="1" applyFont="1" applyFill="1" applyBorder="1" applyAlignment="1" applyProtection="1">
      <alignment horizontal="center" vertical="center"/>
      <protection hidden="1"/>
    </xf>
    <xf numFmtId="168" fontId="27" fillId="0" borderId="34" xfId="3" applyNumberFormat="1" applyFont="1" applyFill="1" applyBorder="1" applyAlignment="1" applyProtection="1">
      <alignment horizontal="center" vertical="center"/>
      <protection hidden="1"/>
    </xf>
    <xf numFmtId="165" fontId="24" fillId="0" borderId="34" xfId="3" applyNumberFormat="1" applyFont="1" applyFill="1" applyBorder="1" applyAlignment="1" applyProtection="1">
      <alignment horizontal="center" vertical="center"/>
      <protection hidden="1"/>
    </xf>
    <xf numFmtId="0" fontId="35" fillId="0" borderId="3" xfId="7" applyFont="1" applyFill="1" applyBorder="1" applyAlignment="1" applyProtection="1">
      <alignment horizontal="center"/>
      <protection hidden="1"/>
    </xf>
    <xf numFmtId="0" fontId="32" fillId="0" borderId="1" xfId="7" applyFont="1" applyBorder="1" applyAlignment="1" applyProtection="1">
      <alignment horizontal="center"/>
      <protection hidden="1"/>
    </xf>
    <xf numFmtId="0" fontId="32" fillId="0" borderId="1" xfId="7" applyFont="1" applyFill="1" applyBorder="1" applyAlignment="1" applyProtection="1">
      <alignment horizontal="center"/>
      <protection hidden="1"/>
    </xf>
    <xf numFmtId="0" fontId="32" fillId="0" borderId="3" xfId="7" applyFont="1" applyFill="1" applyBorder="1" applyAlignment="1" applyProtection="1">
      <alignment horizontal="center"/>
      <protection hidden="1"/>
    </xf>
    <xf numFmtId="0" fontId="29" fillId="0" borderId="11" xfId="0" applyFont="1" applyFill="1" applyBorder="1" applyAlignment="1" applyProtection="1">
      <protection hidden="1"/>
    </xf>
    <xf numFmtId="0" fontId="29" fillId="0" borderId="12" xfId="0" applyFont="1" applyFill="1" applyBorder="1" applyAlignment="1" applyProtection="1">
      <protection hidden="1"/>
    </xf>
    <xf numFmtId="0" fontId="29" fillId="0" borderId="13" xfId="0" applyFont="1" applyFill="1" applyBorder="1" applyAlignment="1" applyProtection="1">
      <protection hidden="1"/>
    </xf>
    <xf numFmtId="14" fontId="27" fillId="0" borderId="13" xfId="0" applyNumberFormat="1" applyFont="1" applyFill="1" applyBorder="1" applyAlignment="1" applyProtection="1">
      <protection hidden="1"/>
    </xf>
    <xf numFmtId="0" fontId="37" fillId="0" borderId="0" xfId="0" applyFont="1"/>
    <xf numFmtId="0" fontId="2" fillId="0" borderId="0" xfId="0" applyFont="1" applyAlignment="1"/>
    <xf numFmtId="0" fontId="18" fillId="0" borderId="0" xfId="0" applyFont="1"/>
    <xf numFmtId="2" fontId="18" fillId="0" borderId="0" xfId="0" applyNumberFormat="1" applyFont="1"/>
    <xf numFmtId="14" fontId="6" fillId="4" borderId="46" xfId="0" applyNumberFormat="1" applyFont="1" applyFill="1" applyBorder="1" applyAlignment="1" applyProtection="1">
      <alignment horizontal="center" vertical="center"/>
      <protection hidden="1"/>
    </xf>
    <xf numFmtId="0" fontId="6" fillId="0" borderId="0" xfId="8" applyFont="1"/>
    <xf numFmtId="165" fontId="6" fillId="0" borderId="0" xfId="8" applyNumberFormat="1" applyFont="1"/>
    <xf numFmtId="0" fontId="2" fillId="0" borderId="0" xfId="8"/>
    <xf numFmtId="0" fontId="2" fillId="0" borderId="0" xfId="8" applyFont="1"/>
    <xf numFmtId="165" fontId="2" fillId="0" borderId="0" xfId="8" applyNumberFormat="1"/>
    <xf numFmtId="165" fontId="2" fillId="7" borderId="0" xfId="8" applyNumberFormat="1" applyFill="1"/>
    <xf numFmtId="0" fontId="2" fillId="0" borderId="5" xfId="0" applyFont="1" applyBorder="1" applyAlignment="1">
      <alignment horizontal="center" vertical="center"/>
    </xf>
    <xf numFmtId="0" fontId="0" fillId="0" borderId="5" xfId="0" applyBorder="1" applyAlignment="1">
      <alignment horizontal="center" vertical="center"/>
    </xf>
    <xf numFmtId="1" fontId="2" fillId="7" borderId="0" xfId="8" applyNumberFormat="1" applyFill="1" applyAlignment="1">
      <alignment horizontal="center" vertical="center"/>
    </xf>
    <xf numFmtId="165" fontId="24" fillId="0" borderId="49" xfId="3" applyNumberFormat="1" applyFont="1" applyFill="1" applyBorder="1" applyAlignment="1" applyProtection="1">
      <alignment horizontal="left" vertical="center" indent="7"/>
      <protection hidden="1"/>
    </xf>
    <xf numFmtId="165" fontId="24" fillId="0" borderId="8" xfId="3" applyNumberFormat="1" applyFont="1" applyFill="1" applyBorder="1" applyAlignment="1" applyProtection="1">
      <alignment horizontal="left" vertical="center" indent="7"/>
      <protection hidden="1"/>
    </xf>
    <xf numFmtId="165" fontId="24" fillId="0" borderId="35" xfId="3" applyNumberFormat="1" applyFont="1" applyFill="1" applyBorder="1" applyAlignment="1" applyProtection="1">
      <alignment horizontal="left" vertical="center" indent="7"/>
      <protection hidden="1"/>
    </xf>
    <xf numFmtId="164" fontId="45" fillId="8" borderId="0" xfId="4" applyNumberFormat="1" applyFont="1" applyFill="1"/>
    <xf numFmtId="43" fontId="45" fillId="8" borderId="0" xfId="4" applyNumberFormat="1" applyFont="1" applyFill="1"/>
    <xf numFmtId="43" fontId="45" fillId="9" borderId="0" xfId="4" applyNumberFormat="1" applyFont="1" applyFill="1"/>
    <xf numFmtId="43" fontId="45" fillId="6" borderId="0" xfId="4" applyNumberFormat="1" applyFont="1" applyFill="1"/>
    <xf numFmtId="165" fontId="45" fillId="10" borderId="0" xfId="4" applyNumberFormat="1" applyFont="1" applyFill="1"/>
    <xf numFmtId="0" fontId="7" fillId="10" borderId="0" xfId="7" applyFill="1"/>
    <xf numFmtId="0" fontId="10" fillId="0" borderId="0" xfId="7" applyFont="1" applyAlignment="1">
      <alignment horizontal="center" vertical="center"/>
    </xf>
    <xf numFmtId="0" fontId="10" fillId="6" borderId="0" xfId="7" applyFont="1" applyFill="1" applyAlignment="1">
      <alignment horizontal="center" vertical="center"/>
    </xf>
    <xf numFmtId="0" fontId="10" fillId="8" borderId="0" xfId="7" applyFont="1" applyFill="1" applyAlignment="1">
      <alignment horizontal="center" vertical="center"/>
    </xf>
    <xf numFmtId="0" fontId="10" fillId="9" borderId="0" xfId="7" applyFont="1" applyFill="1" applyAlignment="1">
      <alignment horizontal="center" vertical="center"/>
    </xf>
    <xf numFmtId="0" fontId="10" fillId="11" borderId="0" xfId="7" applyFont="1" applyFill="1" applyAlignment="1">
      <alignment horizontal="center" vertical="center"/>
    </xf>
    <xf numFmtId="165" fontId="45" fillId="6" borderId="0" xfId="4" applyNumberFormat="1" applyFont="1" applyFill="1"/>
    <xf numFmtId="0" fontId="10" fillId="10" borderId="0" xfId="7" applyFont="1" applyFill="1" applyAlignment="1">
      <alignment horizontal="center" vertical="center"/>
    </xf>
    <xf numFmtId="0" fontId="10" fillId="0" borderId="0" xfId="7" applyFont="1"/>
    <xf numFmtId="0" fontId="10" fillId="0" borderId="0" xfId="7" applyFont="1" applyAlignment="1"/>
    <xf numFmtId="0" fontId="7" fillId="11" borderId="0" xfId="7" applyFill="1"/>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1" fontId="6" fillId="0" borderId="44" xfId="0" applyNumberFormat="1" applyFont="1" applyBorder="1" applyAlignment="1">
      <alignment horizontal="center"/>
    </xf>
    <xf numFmtId="1" fontId="6" fillId="0" borderId="2" xfId="0" applyNumberFormat="1" applyFont="1" applyBorder="1" applyAlignment="1">
      <alignment horizontal="center"/>
    </xf>
    <xf numFmtId="165" fontId="6" fillId="0" borderId="2" xfId="3" applyNumberFormat="1" applyFont="1" applyBorder="1" applyAlignment="1">
      <alignment horizontal="center"/>
    </xf>
    <xf numFmtId="1" fontId="6" fillId="0" borderId="63" xfId="0" applyNumberFormat="1" applyFont="1" applyBorder="1" applyAlignment="1">
      <alignment horizontal="center"/>
    </xf>
    <xf numFmtId="165" fontId="6" fillId="0" borderId="63" xfId="3" applyNumberFormat="1" applyFont="1" applyBorder="1" applyAlignment="1">
      <alignment horizontal="center"/>
    </xf>
    <xf numFmtId="0" fontId="6" fillId="0" borderId="64" xfId="0" applyFont="1" applyBorder="1" applyAlignment="1"/>
    <xf numFmtId="0" fontId="6" fillId="0" borderId="64" xfId="0" applyFont="1" applyBorder="1" applyAlignment="1">
      <alignment horizontal="center"/>
    </xf>
    <xf numFmtId="0" fontId="6" fillId="0" borderId="65" xfId="0" applyFont="1" applyBorder="1" applyAlignment="1">
      <alignment horizontal="center"/>
    </xf>
    <xf numFmtId="0" fontId="46" fillId="0" borderId="0" xfId="8" applyFont="1"/>
    <xf numFmtId="0" fontId="0" fillId="0" borderId="0" xfId="0" applyAlignment="1"/>
    <xf numFmtId="0" fontId="0" fillId="0" borderId="0" xfId="0" applyFill="1"/>
    <xf numFmtId="0" fontId="0" fillId="0" borderId="0" xfId="0" applyBorder="1"/>
    <xf numFmtId="0" fontId="10" fillId="12" borderId="0" xfId="7" applyFont="1" applyFill="1" applyAlignment="1">
      <alignment horizontal="center" vertical="center"/>
    </xf>
    <xf numFmtId="171" fontId="7" fillId="12" borderId="0" xfId="7" applyNumberFormat="1" applyFill="1"/>
    <xf numFmtId="0" fontId="8" fillId="0" borderId="0" xfId="7" applyFont="1" applyBorder="1" applyAlignment="1" applyProtection="1">
      <alignment horizontal="center" wrapText="1"/>
      <protection hidden="1"/>
    </xf>
    <xf numFmtId="0" fontId="29" fillId="0" borderId="20" xfId="7" applyFont="1" applyFill="1" applyBorder="1" applyAlignment="1" applyProtection="1">
      <alignment horizontal="left"/>
      <protection hidden="1"/>
    </xf>
    <xf numFmtId="0" fontId="29" fillId="0" borderId="11" xfId="7" applyFont="1" applyFill="1" applyBorder="1" applyAlignment="1" applyProtection="1">
      <alignment horizontal="left"/>
      <protection hidden="1"/>
    </xf>
    <xf numFmtId="0" fontId="31" fillId="0" borderId="11" xfId="7" applyNumberFormat="1" applyFont="1" applyFill="1" applyBorder="1" applyAlignment="1" applyProtection="1">
      <protection hidden="1"/>
    </xf>
    <xf numFmtId="0" fontId="31" fillId="0" borderId="11" xfId="7" applyFont="1" applyFill="1" applyBorder="1" applyAlignment="1" applyProtection="1">
      <protection hidden="1"/>
    </xf>
    <xf numFmtId="0" fontId="29" fillId="0" borderId="11" xfId="7" applyFont="1" applyFill="1" applyBorder="1" applyAlignment="1" applyProtection="1">
      <protection hidden="1"/>
    </xf>
    <xf numFmtId="0" fontId="31" fillId="0" borderId="17" xfId="7" applyFont="1" applyFill="1" applyBorder="1" applyAlignment="1" applyProtection="1">
      <protection hidden="1"/>
    </xf>
    <xf numFmtId="0" fontId="31" fillId="0" borderId="12" xfId="7" applyNumberFormat="1" applyFont="1" applyFill="1" applyBorder="1" applyAlignment="1" applyProtection="1">
      <protection hidden="1"/>
    </xf>
    <xf numFmtId="0" fontId="31" fillId="0" borderId="12" xfId="7" applyFont="1" applyFill="1" applyBorder="1" applyAlignment="1" applyProtection="1">
      <protection hidden="1"/>
    </xf>
    <xf numFmtId="0" fontId="29" fillId="0" borderId="12" xfId="7" applyFont="1" applyFill="1" applyBorder="1" applyAlignment="1" applyProtection="1">
      <alignment horizontal="left"/>
      <protection hidden="1"/>
    </xf>
    <xf numFmtId="0" fontId="31" fillId="0" borderId="18" xfId="7" applyFont="1" applyFill="1" applyBorder="1" applyAlignment="1" applyProtection="1">
      <protection hidden="1"/>
    </xf>
    <xf numFmtId="0" fontId="29" fillId="0" borderId="21" xfId="7" applyFont="1" applyFill="1" applyBorder="1" applyAlignment="1" applyProtection="1">
      <alignment horizontal="left"/>
      <protection hidden="1"/>
    </xf>
    <xf numFmtId="0" fontId="29" fillId="0" borderId="22" xfId="7" applyFont="1" applyFill="1" applyBorder="1" applyAlignment="1" applyProtection="1">
      <alignment horizontal="left"/>
      <protection hidden="1"/>
    </xf>
    <xf numFmtId="0" fontId="29" fillId="0" borderId="13" xfId="7" applyFont="1" applyFill="1" applyBorder="1" applyAlignment="1" applyProtection="1">
      <alignment horizontal="left"/>
      <protection hidden="1"/>
    </xf>
    <xf numFmtId="0" fontId="31" fillId="0" borderId="13" xfId="7" applyNumberFormat="1" applyFont="1" applyFill="1" applyBorder="1" applyAlignment="1" applyProtection="1">
      <protection hidden="1"/>
    </xf>
    <xf numFmtId="0" fontId="31" fillId="0" borderId="13" xfId="7" applyFont="1" applyFill="1" applyBorder="1" applyAlignment="1" applyProtection="1">
      <protection hidden="1"/>
    </xf>
    <xf numFmtId="0" fontId="31" fillId="0" borderId="19" xfId="7" applyFont="1" applyFill="1" applyBorder="1" applyAlignment="1" applyProtection="1">
      <protection hidden="1"/>
    </xf>
    <xf numFmtId="0" fontId="29" fillId="0" borderId="20" xfId="0" applyFont="1" applyFill="1" applyBorder="1" applyAlignment="1" applyProtection="1">
      <protection hidden="1"/>
    </xf>
    <xf numFmtId="0" fontId="29" fillId="3" borderId="11" xfId="0" applyFont="1" applyFill="1" applyBorder="1" applyAlignment="1" applyProtection="1">
      <protection hidden="1"/>
    </xf>
    <xf numFmtId="0" fontId="29" fillId="0" borderId="21" xfId="0" applyFont="1" applyFill="1" applyBorder="1" applyAlignment="1" applyProtection="1">
      <protection hidden="1"/>
    </xf>
    <xf numFmtId="0" fontId="29" fillId="3" borderId="12" xfId="0" applyFont="1" applyFill="1" applyBorder="1" applyAlignment="1" applyProtection="1">
      <protection hidden="1"/>
    </xf>
    <xf numFmtId="0" fontId="29" fillId="0" borderId="22" xfId="0" applyFont="1" applyFill="1" applyBorder="1" applyAlignment="1" applyProtection="1">
      <protection hidden="1"/>
    </xf>
    <xf numFmtId="0" fontId="29" fillId="3" borderId="13" xfId="0" applyFont="1" applyFill="1" applyBorder="1" applyAlignment="1" applyProtection="1">
      <protection hidden="1"/>
    </xf>
    <xf numFmtId="0" fontId="6" fillId="4" borderId="46" xfId="0" applyFont="1" applyFill="1" applyBorder="1" applyAlignment="1" applyProtection="1">
      <alignment horizontal="center" vertical="center"/>
      <protection locked="0" hidden="1"/>
    </xf>
    <xf numFmtId="3" fontId="6" fillId="4" borderId="46" xfId="3" quotePrefix="1" applyNumberFormat="1" applyFont="1" applyFill="1" applyBorder="1" applyAlignment="1" applyProtection="1">
      <alignment horizontal="center" vertical="center"/>
      <protection locked="0" hidden="1"/>
    </xf>
    <xf numFmtId="14" fontId="6" fillId="4" borderId="46" xfId="0" applyNumberFormat="1" applyFont="1" applyFill="1" applyBorder="1" applyAlignment="1" applyProtection="1">
      <alignment horizontal="center" vertical="center"/>
      <protection locked="0" hidden="1"/>
    </xf>
    <xf numFmtId="0" fontId="2" fillId="0" borderId="0" xfId="0" applyFont="1" applyProtection="1">
      <protection hidden="1"/>
    </xf>
    <xf numFmtId="0" fontId="2"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0" fontId="6" fillId="4" borderId="46" xfId="0" applyFont="1" applyFill="1" applyBorder="1" applyAlignment="1" applyProtection="1">
      <alignment horizontal="center" vertical="center"/>
      <protection hidden="1"/>
    </xf>
    <xf numFmtId="0" fontId="8" fillId="0" borderId="0" xfId="7" applyFont="1" applyBorder="1" applyAlignment="1" applyProtection="1">
      <alignment wrapText="1"/>
      <protection hidden="1"/>
    </xf>
    <xf numFmtId="0" fontId="29" fillId="0" borderId="20" xfId="7" applyFont="1" applyFill="1" applyBorder="1" applyAlignment="1" applyProtection="1">
      <alignment horizontal="left" vertical="center"/>
      <protection hidden="1"/>
    </xf>
    <xf numFmtId="0" fontId="29" fillId="0" borderId="11" xfId="7" applyFont="1" applyFill="1" applyBorder="1" applyAlignment="1" applyProtection="1">
      <alignment horizontal="left" vertical="center"/>
      <protection hidden="1"/>
    </xf>
    <xf numFmtId="0" fontId="29" fillId="0" borderId="11" xfId="7" applyNumberFormat="1" applyFont="1" applyFill="1" applyBorder="1" applyAlignment="1" applyProtection="1">
      <alignment horizontal="left" vertical="center"/>
      <protection hidden="1"/>
    </xf>
    <xf numFmtId="0" fontId="29" fillId="0" borderId="25" xfId="7" applyFont="1" applyFill="1" applyBorder="1" applyAlignment="1" applyProtection="1">
      <alignment horizontal="left" vertical="center"/>
      <protection hidden="1"/>
    </xf>
    <xf numFmtId="0" fontId="29" fillId="0" borderId="17" xfId="7" applyFont="1" applyFill="1" applyBorder="1" applyAlignment="1" applyProtection="1">
      <alignment horizontal="center" vertical="center"/>
      <protection hidden="1"/>
    </xf>
    <xf numFmtId="0" fontId="29" fillId="0" borderId="54"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wrapText="1"/>
      <protection hidden="1"/>
    </xf>
    <xf numFmtId="0" fontId="29" fillId="0" borderId="12" xfId="7" applyNumberFormat="1" applyFont="1" applyFill="1" applyBorder="1" applyAlignment="1" applyProtection="1">
      <alignment horizontal="left" vertical="center"/>
      <protection hidden="1"/>
    </xf>
    <xf numFmtId="14" fontId="29" fillId="0" borderId="18" xfId="7" applyNumberFormat="1" applyFont="1" applyFill="1" applyBorder="1" applyAlignment="1" applyProtection="1">
      <alignment horizontal="center" vertical="center"/>
      <protection hidden="1"/>
    </xf>
    <xf numFmtId="0" fontId="29" fillId="0" borderId="21"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protection hidden="1"/>
    </xf>
    <xf numFmtId="3" fontId="29" fillId="0" borderId="18" xfId="7" applyNumberFormat="1" applyFont="1" applyFill="1" applyBorder="1" applyAlignment="1" applyProtection="1">
      <alignment horizontal="center" vertical="center"/>
      <protection hidden="1"/>
    </xf>
    <xf numFmtId="0" fontId="29" fillId="0" borderId="22" xfId="7" applyFont="1" applyFill="1" applyBorder="1" applyAlignment="1" applyProtection="1">
      <alignment horizontal="left" vertical="center"/>
      <protection hidden="1"/>
    </xf>
    <xf numFmtId="0" fontId="29" fillId="0" borderId="13" xfId="7" applyFont="1" applyFill="1" applyBorder="1" applyAlignment="1" applyProtection="1">
      <alignment horizontal="left" vertical="center"/>
      <protection hidden="1"/>
    </xf>
    <xf numFmtId="0" fontId="29" fillId="0" borderId="13" xfId="7" applyNumberFormat="1" applyFont="1" applyFill="1" applyBorder="1" applyAlignment="1" applyProtection="1">
      <alignment horizontal="left" vertical="center"/>
      <protection hidden="1"/>
    </xf>
    <xf numFmtId="0" fontId="29" fillId="0" borderId="26" xfId="7" applyFont="1" applyFill="1" applyBorder="1" applyAlignment="1" applyProtection="1">
      <alignment horizontal="left" vertical="center"/>
      <protection hidden="1"/>
    </xf>
    <xf numFmtId="14" fontId="29" fillId="0" borderId="19" xfId="7" applyNumberFormat="1" applyFont="1" applyFill="1" applyBorder="1" applyAlignment="1" applyProtection="1">
      <alignment horizontal="center" vertical="center"/>
      <protection hidden="1"/>
    </xf>
    <xf numFmtId="0" fontId="15" fillId="0" borderId="0" xfId="7" applyFont="1" applyBorder="1" applyAlignment="1" applyProtection="1">
      <alignment wrapText="1"/>
      <protection hidden="1"/>
    </xf>
    <xf numFmtId="0" fontId="0" fillId="0" borderId="0" xfId="0" applyProtection="1">
      <protection hidden="1"/>
    </xf>
    <xf numFmtId="0" fontId="14" fillId="0" borderId="0" xfId="7" applyFont="1" applyBorder="1" applyAlignment="1" applyProtection="1">
      <alignment wrapText="1"/>
      <protection hidden="1"/>
    </xf>
    <xf numFmtId="0" fontId="6" fillId="0" borderId="36" xfId="0" applyFont="1" applyBorder="1" applyAlignment="1" applyProtection="1">
      <alignment horizontal="center" vertical="center"/>
      <protection hidden="1"/>
    </xf>
    <xf numFmtId="0" fontId="0" fillId="0" borderId="36" xfId="0" applyBorder="1" applyProtection="1">
      <protection hidden="1"/>
    </xf>
    <xf numFmtId="0" fontId="27" fillId="0" borderId="32" xfId="0" applyFont="1" applyFill="1" applyBorder="1" applyAlignment="1" applyProtection="1">
      <alignment horizontal="center" vertical="center"/>
      <protection hidden="1"/>
    </xf>
    <xf numFmtId="0" fontId="27" fillId="0" borderId="23" xfId="0" applyFont="1" applyFill="1" applyBorder="1" applyAlignment="1" applyProtection="1">
      <alignment horizontal="center" vertical="center"/>
      <protection hidden="1"/>
    </xf>
    <xf numFmtId="0" fontId="27" fillId="0" borderId="62" xfId="0" applyFont="1" applyFill="1" applyBorder="1" applyAlignment="1" applyProtection="1">
      <alignment horizontal="center" vertical="center"/>
      <protection hidden="1"/>
    </xf>
    <xf numFmtId="167" fontId="24" fillId="0" borderId="3" xfId="7" applyNumberFormat="1" applyFont="1" applyFill="1" applyBorder="1" applyAlignment="1" applyProtection="1">
      <alignment horizontal="center"/>
      <protection hidden="1"/>
    </xf>
    <xf numFmtId="167" fontId="24" fillId="0" borderId="6" xfId="7" applyNumberFormat="1" applyFont="1" applyFill="1" applyBorder="1" applyAlignment="1" applyProtection="1">
      <alignment horizontal="center"/>
      <protection hidden="1"/>
    </xf>
    <xf numFmtId="0" fontId="0" fillId="0" borderId="0" xfId="0" applyBorder="1" applyProtection="1">
      <protection hidden="1"/>
    </xf>
    <xf numFmtId="165" fontId="25" fillId="0" borderId="2" xfId="3" applyNumberFormat="1" applyFont="1" applyBorder="1" applyAlignment="1" applyProtection="1">
      <alignment horizontal="center"/>
      <protection hidden="1"/>
    </xf>
    <xf numFmtId="165" fontId="25" fillId="0" borderId="2" xfId="3" applyNumberFormat="1" applyFont="1" applyBorder="1" applyAlignment="1" applyProtection="1">
      <alignment horizontal="center"/>
      <protection locked="0" hidden="1"/>
    </xf>
    <xf numFmtId="165" fontId="27" fillId="0" borderId="8" xfId="3" applyNumberFormat="1" applyFont="1" applyBorder="1" applyAlignment="1" applyProtection="1">
      <alignment horizontal="center"/>
      <protection locked="0" hidden="1"/>
    </xf>
    <xf numFmtId="0" fontId="25" fillId="0" borderId="0" xfId="0" applyFont="1" applyProtection="1">
      <protection hidden="1"/>
    </xf>
    <xf numFmtId="165" fontId="24" fillId="3" borderId="2" xfId="3" applyNumberFormat="1" applyFont="1" applyFill="1" applyBorder="1" applyAlignment="1" applyProtection="1">
      <alignment horizontal="center"/>
      <protection locked="0" hidden="1"/>
    </xf>
    <xf numFmtId="165" fontId="24" fillId="3" borderId="8" xfId="3" applyNumberFormat="1" applyFont="1" applyFill="1" applyBorder="1" applyAlignment="1" applyProtection="1">
      <alignment horizontal="center"/>
      <protection locked="0" hidden="1"/>
    </xf>
    <xf numFmtId="165" fontId="25" fillId="0" borderId="2" xfId="3" quotePrefix="1" applyNumberFormat="1" applyFont="1" applyBorder="1" applyAlignment="1" applyProtection="1">
      <alignment horizontal="center"/>
      <protection locked="0" hidden="1"/>
    </xf>
    <xf numFmtId="165" fontId="24" fillId="3" borderId="34" xfId="3" applyNumberFormat="1" applyFont="1" applyFill="1" applyBorder="1" applyAlignment="1" applyProtection="1">
      <alignment horizontal="center"/>
      <protection locked="0" hidden="1"/>
    </xf>
    <xf numFmtId="165" fontId="24" fillId="3" borderId="35" xfId="3" applyNumberFormat="1" applyFont="1" applyFill="1" applyBorder="1" applyAlignment="1" applyProtection="1">
      <alignment horizontal="center"/>
      <protection locked="0" hidden="1"/>
    </xf>
    <xf numFmtId="0" fontId="25" fillId="0" borderId="0" xfId="0" applyFont="1" applyBorder="1" applyAlignment="1" applyProtection="1">
      <alignment horizontal="center"/>
      <protection hidden="1"/>
    </xf>
    <xf numFmtId="14" fontId="27" fillId="0" borderId="0" xfId="0" applyNumberFormat="1" applyFont="1" applyBorder="1" applyAlignment="1" applyProtection="1">
      <alignment horizontal="center"/>
      <protection hidden="1"/>
    </xf>
    <xf numFmtId="167" fontId="27" fillId="0" borderId="0" xfId="0" applyNumberFormat="1" applyFont="1" applyBorder="1" applyAlignment="1" applyProtection="1">
      <alignment horizontal="center"/>
      <protection hidden="1"/>
    </xf>
    <xf numFmtId="165" fontId="25" fillId="0" borderId="0" xfId="3" applyNumberFormat="1" applyFont="1" applyAlignment="1" applyProtection="1">
      <alignment horizontal="center"/>
      <protection hidden="1"/>
    </xf>
    <xf numFmtId="0" fontId="25" fillId="0" borderId="0" xfId="0" applyFont="1" applyAlignment="1" applyProtection="1">
      <alignment horizontal="center"/>
      <protection hidden="1"/>
    </xf>
    <xf numFmtId="0" fontId="27" fillId="0" borderId="45"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27" fillId="0" borderId="57"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0" fontId="27" fillId="0" borderId="3" xfId="0"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28"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0" fontId="27" fillId="0" borderId="41"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0" borderId="31" xfId="0" applyFont="1" applyBorder="1" applyAlignment="1" applyProtection="1">
      <alignment horizontal="center" vertical="center"/>
      <protection hidden="1"/>
    </xf>
    <xf numFmtId="165" fontId="2" fillId="0" borderId="0" xfId="3" applyNumberFormat="1" applyAlignment="1" applyProtection="1">
      <alignment horizontal="center"/>
      <protection hidden="1"/>
    </xf>
    <xf numFmtId="0" fontId="24" fillId="0" borderId="0" xfId="0" applyFont="1" applyAlignment="1" applyProtection="1">
      <alignment horizontal="center"/>
      <protection hidden="1"/>
    </xf>
    <xf numFmtId="0" fontId="0" fillId="0" borderId="0" xfId="0" applyAlignment="1" applyProtection="1">
      <alignment horizontal="center"/>
      <protection hidden="1"/>
    </xf>
    <xf numFmtId="0" fontId="6" fillId="0" borderId="0" xfId="0" applyFont="1" applyProtection="1">
      <protection hidden="1"/>
    </xf>
    <xf numFmtId="2" fontId="0" fillId="0" borderId="0" xfId="0" applyNumberFormat="1" applyProtection="1">
      <protection hidden="1"/>
    </xf>
    <xf numFmtId="0" fontId="29" fillId="0" borderId="17" xfId="0" applyFont="1" applyFill="1" applyBorder="1" applyAlignment="1" applyProtection="1">
      <protection hidden="1"/>
    </xf>
    <xf numFmtId="0" fontId="29" fillId="0" borderId="18" xfId="0" applyFont="1" applyFill="1" applyBorder="1" applyAlignment="1" applyProtection="1">
      <protection hidden="1"/>
    </xf>
    <xf numFmtId="14" fontId="29" fillId="0" borderId="12" xfId="0" applyNumberFormat="1" applyFont="1" applyFill="1" applyBorder="1" applyAlignment="1" applyProtection="1">
      <protection hidden="1"/>
    </xf>
    <xf numFmtId="14" fontId="29" fillId="0" borderId="18" xfId="0" applyNumberFormat="1" applyFont="1" applyFill="1" applyBorder="1" applyAlignment="1" applyProtection="1">
      <protection hidden="1"/>
    </xf>
    <xf numFmtId="0" fontId="25" fillId="0" borderId="13" xfId="0" applyFont="1" applyFill="1" applyBorder="1" applyProtection="1">
      <protection hidden="1"/>
    </xf>
    <xf numFmtId="2" fontId="25" fillId="0" borderId="13" xfId="0" applyNumberFormat="1" applyFont="1" applyFill="1" applyBorder="1" applyProtection="1">
      <protection hidden="1"/>
    </xf>
    <xf numFmtId="14" fontId="27" fillId="0" borderId="19" xfId="0" applyNumberFormat="1" applyFont="1" applyFill="1" applyBorder="1" applyAlignment="1" applyProtection="1">
      <protection hidden="1"/>
    </xf>
    <xf numFmtId="0" fontId="28" fillId="0" borderId="0" xfId="0" applyFont="1" applyBorder="1" applyAlignment="1" applyProtection="1">
      <alignment horizontal="center"/>
      <protection hidden="1"/>
    </xf>
    <xf numFmtId="2" fontId="0" fillId="0" borderId="0" xfId="0" applyNumberFormat="1" applyBorder="1" applyProtection="1">
      <protection hidden="1"/>
    </xf>
    <xf numFmtId="0" fontId="2" fillId="0" borderId="0" xfId="0" applyFont="1" applyFill="1" applyBorder="1" applyProtection="1">
      <protection hidden="1"/>
    </xf>
    <xf numFmtId="0" fontId="24" fillId="0" borderId="3" xfId="0" applyFont="1" applyBorder="1" applyAlignment="1" applyProtection="1">
      <alignment horizontal="center"/>
      <protection hidden="1"/>
    </xf>
    <xf numFmtId="165" fontId="24" fillId="4" borderId="5" xfId="3" applyNumberFormat="1" applyFont="1" applyFill="1" applyBorder="1" applyAlignment="1" applyProtection="1">
      <alignment horizontal="center"/>
      <protection locked="0" hidden="1"/>
    </xf>
    <xf numFmtId="171" fontId="24" fillId="4" borderId="5" xfId="3" applyNumberFormat="1" applyFont="1" applyFill="1" applyBorder="1" applyAlignment="1" applyProtection="1">
      <alignment horizontal="center"/>
      <protection locked="0" hidden="1"/>
    </xf>
    <xf numFmtId="165" fontId="26" fillId="0" borderId="1" xfId="3" applyNumberFormat="1" applyFont="1" applyBorder="1" applyAlignment="1" applyProtection="1">
      <alignment horizontal="center"/>
      <protection locked="0" hidden="1"/>
    </xf>
    <xf numFmtId="171" fontId="26" fillId="0" borderId="1" xfId="3" applyNumberFormat="1" applyFont="1" applyBorder="1" applyAlignment="1" applyProtection="1">
      <alignment horizontal="center"/>
      <protection locked="0" hidden="1"/>
    </xf>
    <xf numFmtId="165" fontId="26" fillId="0" borderId="1" xfId="3" applyNumberFormat="1" applyFont="1" applyFill="1" applyBorder="1" applyAlignment="1" applyProtection="1">
      <alignment horizontal="center"/>
      <protection locked="0" hidden="1"/>
    </xf>
    <xf numFmtId="171" fontId="26" fillId="0" borderId="1" xfId="3" applyNumberFormat="1" applyFont="1" applyFill="1" applyBorder="1" applyAlignment="1" applyProtection="1">
      <alignment horizontal="center"/>
      <protection locked="0" hidden="1"/>
    </xf>
    <xf numFmtId="165" fontId="26" fillId="0" borderId="3" xfId="3" applyNumberFormat="1" applyFont="1" applyFill="1" applyBorder="1" applyAlignment="1" applyProtection="1">
      <alignment horizontal="center"/>
      <protection locked="0" hidden="1"/>
    </xf>
    <xf numFmtId="171" fontId="26" fillId="0" borderId="3" xfId="3" applyNumberFormat="1" applyFont="1" applyFill="1" applyBorder="1" applyAlignment="1" applyProtection="1">
      <alignment horizontal="center"/>
      <protection locked="0" hidden="1"/>
    </xf>
    <xf numFmtId="0" fontId="27" fillId="0" borderId="0" xfId="0" applyFont="1" applyProtection="1">
      <protection hidden="1"/>
    </xf>
    <xf numFmtId="2" fontId="25" fillId="0" borderId="0" xfId="0" applyNumberFormat="1" applyFont="1" applyProtection="1">
      <protection hidden="1"/>
    </xf>
    <xf numFmtId="0" fontId="27" fillId="0" borderId="28" xfId="0" applyFont="1" applyBorder="1" applyAlignment="1" applyProtection="1">
      <alignment horizontal="center"/>
      <protection hidden="1"/>
    </xf>
    <xf numFmtId="2" fontId="24" fillId="0" borderId="3" xfId="0" applyNumberFormat="1" applyFont="1" applyBorder="1" applyAlignment="1" applyProtection="1">
      <alignment horizontal="center"/>
      <protection hidden="1"/>
    </xf>
    <xf numFmtId="0" fontId="24" fillId="0" borderId="29" xfId="0" applyFont="1" applyBorder="1" applyAlignment="1" applyProtection="1">
      <alignment horizontal="center"/>
      <protection hidden="1"/>
    </xf>
    <xf numFmtId="2" fontId="25" fillId="0" borderId="5" xfId="0" applyNumberFormat="1" applyFont="1" applyBorder="1" applyProtection="1">
      <protection locked="0" hidden="1"/>
    </xf>
    <xf numFmtId="171" fontId="25" fillId="0" borderId="5" xfId="0" applyNumberFormat="1" applyFont="1" applyBorder="1" applyProtection="1">
      <protection locked="0" hidden="1"/>
    </xf>
    <xf numFmtId="41" fontId="25" fillId="0" borderId="5" xfId="3" applyNumberFormat="1" applyFont="1" applyBorder="1" applyProtection="1">
      <protection locked="0" hidden="1"/>
    </xf>
    <xf numFmtId="41" fontId="25" fillId="0" borderId="40" xfId="3" applyNumberFormat="1" applyFont="1" applyBorder="1" applyProtection="1">
      <protection locked="0" hidden="1"/>
    </xf>
    <xf numFmtId="173" fontId="0" fillId="0" borderId="0" xfId="0" applyNumberFormat="1" applyProtection="1">
      <protection hidden="1"/>
    </xf>
    <xf numFmtId="175" fontId="0" fillId="0" borderId="0" xfId="0" applyNumberFormat="1" applyProtection="1">
      <protection hidden="1"/>
    </xf>
    <xf numFmtId="174" fontId="0" fillId="0" borderId="0" xfId="0" applyNumberFormat="1" applyProtection="1">
      <protection hidden="1"/>
    </xf>
    <xf numFmtId="10" fontId="0" fillId="0" borderId="0" xfId="0" applyNumberFormat="1" applyProtection="1">
      <protection hidden="1"/>
    </xf>
    <xf numFmtId="171" fontId="25" fillId="0" borderId="39" xfId="0" applyNumberFormat="1" applyFont="1" applyBorder="1" applyProtection="1">
      <protection locked="0" hidden="1"/>
    </xf>
    <xf numFmtId="41" fontId="25" fillId="0" borderId="39" xfId="3" applyNumberFormat="1" applyFont="1" applyBorder="1" applyProtection="1">
      <protection locked="0" hidden="1"/>
    </xf>
    <xf numFmtId="0" fontId="25" fillId="6" borderId="0" xfId="0" applyFont="1" applyFill="1" applyProtection="1">
      <protection locked="0" hidden="1"/>
    </xf>
    <xf numFmtId="0" fontId="30" fillId="0" borderId="0" xfId="0" applyFont="1" applyProtection="1">
      <protection hidden="1"/>
    </xf>
    <xf numFmtId="0" fontId="25" fillId="0" borderId="0" xfId="0" applyFont="1" applyAlignment="1" applyProtection="1">
      <alignment horizontal="right"/>
      <protection hidden="1"/>
    </xf>
    <xf numFmtId="0" fontId="2" fillId="0" borderId="0" xfId="0" applyFont="1" applyAlignment="1" applyProtection="1">
      <alignment horizontal="center" vertical="center"/>
      <protection hidden="1"/>
    </xf>
    <xf numFmtId="0" fontId="12" fillId="0" borderId="0" xfId="7" applyFont="1" applyBorder="1" applyAlignment="1" applyProtection="1">
      <alignment wrapText="1"/>
      <protection hidden="1"/>
    </xf>
    <xf numFmtId="0" fontId="10"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center" vertical="center"/>
      <protection hidden="1"/>
    </xf>
    <xf numFmtId="0" fontId="2" fillId="0" borderId="15" xfId="0" applyFont="1" applyBorder="1" applyProtection="1">
      <protection hidden="1"/>
    </xf>
    <xf numFmtId="0" fontId="2" fillId="0" borderId="53" xfId="0" applyFont="1" applyBorder="1" applyAlignment="1" applyProtection="1">
      <alignment horizontal="center" vertical="center"/>
      <protection hidden="1"/>
    </xf>
    <xf numFmtId="0" fontId="2" fillId="0" borderId="16" xfId="0" applyFont="1" applyBorder="1" applyProtection="1">
      <protection hidden="1"/>
    </xf>
    <xf numFmtId="17" fontId="2" fillId="0" borderId="55" xfId="0" applyNumberFormat="1" applyFont="1" applyBorder="1" applyAlignment="1" applyProtection="1">
      <alignment horizontal="center" vertical="center"/>
      <protection hidden="1"/>
    </xf>
    <xf numFmtId="0" fontId="36" fillId="0" borderId="0" xfId="0" applyFont="1" applyProtection="1">
      <protection hidden="1"/>
    </xf>
    <xf numFmtId="0" fontId="41" fillId="0" borderId="0" xfId="7" applyFont="1" applyBorder="1" applyAlignment="1" applyProtection="1">
      <alignment horizontal="center" wrapText="1"/>
      <protection hidden="1"/>
    </xf>
    <xf numFmtId="0" fontId="43" fillId="0" borderId="0" xfId="7" applyFont="1" applyBorder="1" applyAlignment="1" applyProtection="1">
      <alignment horizontal="center" wrapText="1"/>
      <protection hidden="1"/>
    </xf>
    <xf numFmtId="0" fontId="17" fillId="0" borderId="0" xfId="0" applyFont="1" applyFill="1" applyBorder="1" applyAlignment="1" applyProtection="1">
      <protection hidden="1"/>
    </xf>
    <xf numFmtId="0" fontId="29" fillId="0" borderId="0" xfId="0" applyFont="1" applyFill="1" applyBorder="1" applyAlignment="1" applyProtection="1">
      <protection hidden="1"/>
    </xf>
    <xf numFmtId="0" fontId="29" fillId="0" borderId="0" xfId="0" applyFont="1" applyFill="1" applyBorder="1" applyAlignment="1" applyProtection="1">
      <alignment horizontal="left"/>
      <protection hidden="1"/>
    </xf>
    <xf numFmtId="0" fontId="29" fillId="0" borderId="0" xfId="0" applyFont="1" applyFill="1" applyBorder="1" applyAlignment="1" applyProtection="1">
      <alignment horizontal="center"/>
      <protection hidden="1"/>
    </xf>
    <xf numFmtId="0" fontId="29" fillId="0" borderId="0" xfId="7" applyNumberFormat="1" applyFont="1" applyFill="1" applyBorder="1" applyAlignment="1" applyProtection="1">
      <alignment horizontal="center"/>
      <protection hidden="1"/>
    </xf>
    <xf numFmtId="14" fontId="29" fillId="0" borderId="0" xfId="0" applyNumberFormat="1" applyFont="1" applyFill="1" applyBorder="1" applyAlignment="1" applyProtection="1">
      <alignment horizontal="center"/>
      <protection hidden="1"/>
    </xf>
    <xf numFmtId="0" fontId="2" fillId="0" borderId="42" xfId="0" applyFont="1" applyBorder="1" applyProtection="1">
      <protection hidden="1"/>
    </xf>
    <xf numFmtId="0" fontId="35" fillId="0" borderId="28" xfId="7" applyFont="1" applyFill="1" applyBorder="1" applyAlignment="1" applyProtection="1">
      <alignment horizontal="center"/>
      <protection hidden="1"/>
    </xf>
    <xf numFmtId="0" fontId="29" fillId="0" borderId="13" xfId="0" applyFont="1" applyFill="1" applyBorder="1" applyProtection="1">
      <protection hidden="1"/>
    </xf>
    <xf numFmtId="0" fontId="47" fillId="0" borderId="28" xfId="0" applyFont="1" applyBorder="1" applyAlignment="1" applyProtection="1">
      <alignment horizontal="center"/>
      <protection hidden="1"/>
    </xf>
    <xf numFmtId="0" fontId="47" fillId="0" borderId="29" xfId="0" applyFont="1" applyBorder="1" applyAlignment="1" applyProtection="1">
      <alignment horizontal="center"/>
      <protection hidden="1"/>
    </xf>
    <xf numFmtId="0" fontId="47" fillId="0" borderId="27" xfId="0" applyFont="1" applyBorder="1" applyAlignment="1" applyProtection="1">
      <alignment horizontal="center"/>
      <protection hidden="1"/>
    </xf>
    <xf numFmtId="0" fontId="47" fillId="0" borderId="3" xfId="0" applyFont="1" applyBorder="1" applyAlignment="1" applyProtection="1">
      <alignment horizontal="center"/>
      <protection hidden="1"/>
    </xf>
    <xf numFmtId="0" fontId="48" fillId="0" borderId="3" xfId="0" applyFont="1" applyBorder="1" applyAlignment="1" applyProtection="1">
      <alignment horizontal="center"/>
      <protection hidden="1"/>
    </xf>
    <xf numFmtId="0" fontId="48" fillId="0" borderId="29" xfId="0" applyFont="1" applyBorder="1" applyAlignment="1" applyProtection="1">
      <alignment horizontal="center"/>
      <protection hidden="1"/>
    </xf>
    <xf numFmtId="0" fontId="48" fillId="0" borderId="28" xfId="0" applyFont="1" applyBorder="1" applyAlignment="1" applyProtection="1">
      <alignment horizontal="center"/>
      <protection hidden="1"/>
    </xf>
    <xf numFmtId="0" fontId="48" fillId="0" borderId="27" xfId="0" applyFont="1" applyBorder="1" applyAlignment="1" applyProtection="1">
      <alignment horizontal="center"/>
      <protection hidden="1"/>
    </xf>
    <xf numFmtId="0" fontId="49" fillId="0" borderId="0" xfId="7" applyFont="1" applyProtection="1">
      <protection hidden="1"/>
    </xf>
    <xf numFmtId="0" fontId="29" fillId="0" borderId="3" xfId="0" applyFont="1" applyBorder="1" applyAlignment="1" applyProtection="1">
      <alignment horizontal="center"/>
      <protection hidden="1"/>
    </xf>
    <xf numFmtId="0" fontId="52" fillId="0" borderId="7" xfId="7" applyFont="1" applyFill="1" applyBorder="1" applyAlignment="1" applyProtection="1">
      <alignment horizontal="center"/>
      <protection hidden="1"/>
    </xf>
    <xf numFmtId="1" fontId="52" fillId="0" borderId="43" xfId="7" applyNumberFormat="1" applyFont="1" applyFill="1" applyBorder="1" applyAlignment="1" applyProtection="1">
      <alignment horizontal="center"/>
      <protection hidden="1"/>
    </xf>
    <xf numFmtId="165" fontId="52" fillId="0" borderId="2" xfId="3" applyNumberFormat="1" applyFont="1" applyFill="1" applyBorder="1" applyAlignment="1" applyProtection="1">
      <alignment horizontal="center"/>
      <protection hidden="1"/>
    </xf>
    <xf numFmtId="170" fontId="53" fillId="0" borderId="2" xfId="10" applyNumberFormat="1" applyFont="1" applyFill="1" applyBorder="1" applyAlignment="1" applyProtection="1">
      <alignment horizontal="center"/>
      <protection hidden="1"/>
    </xf>
    <xf numFmtId="165" fontId="52" fillId="0" borderId="8" xfId="3" applyNumberFormat="1" applyFont="1" applyFill="1" applyBorder="1" applyAlignment="1" applyProtection="1">
      <alignment horizontal="center"/>
      <protection hidden="1"/>
    </xf>
    <xf numFmtId="165" fontId="52" fillId="0" borderId="7" xfId="3" applyNumberFormat="1" applyFont="1" applyFill="1" applyBorder="1" applyAlignment="1" applyProtection="1">
      <alignment horizontal="center"/>
      <protection hidden="1"/>
    </xf>
    <xf numFmtId="169" fontId="53" fillId="0" borderId="2" xfId="3" applyNumberFormat="1" applyFont="1" applyFill="1" applyBorder="1" applyAlignment="1" applyProtection="1">
      <alignment horizontal="center"/>
      <protection hidden="1"/>
    </xf>
    <xf numFmtId="0" fontId="52" fillId="5" borderId="2" xfId="7" applyFont="1" applyFill="1" applyBorder="1" applyAlignment="1" applyProtection="1">
      <alignment horizontal="center" vertical="center"/>
      <protection hidden="1"/>
    </xf>
    <xf numFmtId="164" fontId="53" fillId="0" borderId="2" xfId="3" applyNumberFormat="1" applyFont="1" applyFill="1" applyBorder="1" applyAlignment="1" applyProtection="1">
      <alignment horizontal="center"/>
      <protection hidden="1"/>
    </xf>
    <xf numFmtId="0" fontId="52" fillId="5" borderId="8" xfId="7" applyFont="1" applyFill="1" applyBorder="1" applyAlignment="1" applyProtection="1">
      <alignment horizontal="center" vertical="center"/>
      <protection hidden="1"/>
    </xf>
    <xf numFmtId="171" fontId="53" fillId="0" borderId="7" xfId="7" applyNumberFormat="1" applyFont="1" applyFill="1" applyBorder="1" applyAlignment="1" applyProtection="1">
      <alignment horizontal="center"/>
      <protection hidden="1"/>
    </xf>
    <xf numFmtId="171" fontId="52" fillId="5" borderId="44" xfId="7" applyNumberFormat="1" applyFont="1" applyFill="1" applyBorder="1" applyAlignment="1" applyProtection="1">
      <alignment horizontal="center" vertical="center"/>
      <protection hidden="1"/>
    </xf>
    <xf numFmtId="171" fontId="53" fillId="0" borderId="43" xfId="7" applyNumberFormat="1" applyFont="1" applyFill="1" applyBorder="1" applyAlignment="1" applyProtection="1">
      <alignment horizontal="center"/>
      <protection hidden="1"/>
    </xf>
    <xf numFmtId="171" fontId="54" fillId="5" borderId="2" xfId="8" applyNumberFormat="1" applyFont="1" applyFill="1" applyBorder="1" applyAlignment="1" applyProtection="1">
      <alignment horizontal="center"/>
      <protection hidden="1"/>
    </xf>
    <xf numFmtId="165" fontId="53" fillId="0" borderId="2" xfId="7" applyNumberFormat="1" applyFont="1" applyFill="1" applyBorder="1" applyAlignment="1" applyProtection="1">
      <alignment horizontal="center" vertical="center"/>
      <protection hidden="1"/>
    </xf>
    <xf numFmtId="169" fontId="54" fillId="5" borderId="2" xfId="3" applyNumberFormat="1" applyFont="1" applyFill="1" applyBorder="1" applyAlignment="1" applyProtection="1">
      <alignment horizontal="center" vertical="center"/>
      <protection hidden="1"/>
    </xf>
    <xf numFmtId="164" fontId="52" fillId="0" borderId="2" xfId="3" applyNumberFormat="1" applyFont="1" applyFill="1" applyBorder="1" applyAlignment="1" applyProtection="1">
      <alignment horizontal="center"/>
      <protection hidden="1"/>
    </xf>
    <xf numFmtId="171" fontId="54" fillId="5" borderId="8" xfId="4" applyNumberFormat="1" applyFont="1" applyFill="1" applyBorder="1" applyAlignment="1" applyProtection="1">
      <alignment horizontal="center" vertical="center"/>
      <protection hidden="1"/>
    </xf>
    <xf numFmtId="165" fontId="52" fillId="0" borderId="43" xfId="3" applyNumberFormat="1" applyFont="1" applyFill="1" applyBorder="1" applyAlignment="1" applyProtection="1">
      <alignment horizontal="center"/>
      <protection hidden="1"/>
    </xf>
    <xf numFmtId="169" fontId="52" fillId="0" borderId="2" xfId="4" applyNumberFormat="1" applyFont="1" applyFill="1" applyBorder="1" applyAlignment="1" applyProtection="1">
      <alignment horizontal="center"/>
      <protection hidden="1"/>
    </xf>
    <xf numFmtId="165" fontId="52" fillId="0" borderId="2" xfId="4" applyNumberFormat="1" applyFont="1" applyFill="1" applyBorder="1" applyAlignment="1" applyProtection="1">
      <alignment horizontal="center"/>
      <protection hidden="1"/>
    </xf>
    <xf numFmtId="43" fontId="53" fillId="0" borderId="2" xfId="3" applyNumberFormat="1" applyFont="1" applyFill="1" applyBorder="1" applyAlignment="1" applyProtection="1">
      <alignment horizontal="center"/>
      <protection hidden="1"/>
    </xf>
    <xf numFmtId="43" fontId="52" fillId="0" borderId="8" xfId="3" applyNumberFormat="1" applyFont="1" applyFill="1" applyBorder="1" applyAlignment="1" applyProtection="1">
      <alignment horizontal="center"/>
      <protection hidden="1"/>
    </xf>
    <xf numFmtId="10" fontId="53" fillId="0" borderId="2" xfId="10" applyNumberFormat="1" applyFont="1" applyFill="1" applyBorder="1" applyAlignment="1" applyProtection="1">
      <alignment horizontal="center"/>
      <protection hidden="1"/>
    </xf>
    <xf numFmtId="10" fontId="53" fillId="0" borderId="8" xfId="10" applyNumberFormat="1" applyFont="1" applyFill="1" applyBorder="1" applyAlignment="1" applyProtection="1">
      <alignment horizontal="center"/>
      <protection hidden="1"/>
    </xf>
    <xf numFmtId="172" fontId="52" fillId="0" borderId="30" xfId="3" applyNumberFormat="1" applyFont="1" applyFill="1" applyBorder="1" applyAlignment="1" applyProtection="1">
      <alignment horizontal="center"/>
      <protection hidden="1"/>
    </xf>
    <xf numFmtId="0" fontId="55" fillId="0" borderId="0" xfId="7" applyFont="1" applyProtection="1">
      <protection hidden="1"/>
    </xf>
    <xf numFmtId="164" fontId="54" fillId="5" borderId="2" xfId="4" applyNumberFormat="1" applyFont="1" applyFill="1" applyBorder="1" applyAlignment="1" applyProtection="1">
      <alignment horizontal="center" vertical="center"/>
      <protection hidden="1"/>
    </xf>
    <xf numFmtId="164" fontId="54" fillId="5" borderId="8" xfId="4" applyNumberFormat="1" applyFont="1" applyFill="1" applyBorder="1" applyAlignment="1" applyProtection="1">
      <alignment horizontal="center" vertical="center"/>
      <protection hidden="1"/>
    </xf>
    <xf numFmtId="171" fontId="54" fillId="5" borderId="2" xfId="4" applyNumberFormat="1" applyFont="1" applyFill="1" applyBorder="1" applyAlignment="1" applyProtection="1">
      <alignment horizontal="center" vertical="center"/>
      <protection hidden="1"/>
    </xf>
    <xf numFmtId="171" fontId="54" fillId="5" borderId="2" xfId="5" applyNumberFormat="1" applyFont="1" applyFill="1" applyBorder="1" applyAlignment="1" applyProtection="1">
      <alignment horizontal="center"/>
      <protection hidden="1"/>
    </xf>
    <xf numFmtId="0" fontId="52" fillId="0" borderId="33" xfId="7" applyFont="1" applyFill="1" applyBorder="1" applyAlignment="1" applyProtection="1">
      <alignment horizontal="center"/>
      <protection hidden="1"/>
    </xf>
    <xf numFmtId="1" fontId="52" fillId="0" borderId="52" xfId="7" applyNumberFormat="1" applyFont="1" applyFill="1" applyBorder="1" applyAlignment="1" applyProtection="1">
      <alignment horizontal="center"/>
      <protection hidden="1"/>
    </xf>
    <xf numFmtId="165" fontId="52" fillId="0" borderId="34" xfId="3" applyNumberFormat="1" applyFont="1" applyFill="1" applyBorder="1" applyAlignment="1" applyProtection="1">
      <alignment horizontal="center"/>
      <protection hidden="1"/>
    </xf>
    <xf numFmtId="170" fontId="53" fillId="0" borderId="34" xfId="10" applyNumberFormat="1" applyFont="1" applyFill="1" applyBorder="1" applyAlignment="1" applyProtection="1">
      <alignment horizontal="center"/>
      <protection hidden="1"/>
    </xf>
    <xf numFmtId="165" fontId="52" fillId="0" borderId="35" xfId="3" applyNumberFormat="1" applyFont="1" applyFill="1" applyBorder="1" applyAlignment="1" applyProtection="1">
      <alignment horizontal="center"/>
      <protection hidden="1"/>
    </xf>
    <xf numFmtId="165" fontId="52" fillId="0" borderId="33" xfId="3" applyNumberFormat="1" applyFont="1" applyFill="1" applyBorder="1" applyAlignment="1" applyProtection="1">
      <alignment horizontal="center"/>
      <protection hidden="1"/>
    </xf>
    <xf numFmtId="169" fontId="53" fillId="0" borderId="34" xfId="3" applyNumberFormat="1" applyFont="1" applyFill="1" applyBorder="1" applyAlignment="1" applyProtection="1">
      <alignment horizontal="center"/>
      <protection hidden="1"/>
    </xf>
    <xf numFmtId="164" fontId="54" fillId="5" borderId="34" xfId="4" applyNumberFormat="1" applyFont="1" applyFill="1" applyBorder="1" applyAlignment="1" applyProtection="1">
      <alignment horizontal="center" vertical="center"/>
      <protection hidden="1"/>
    </xf>
    <xf numFmtId="164" fontId="53" fillId="0" borderId="34" xfId="3" applyNumberFormat="1" applyFont="1" applyFill="1" applyBorder="1" applyAlignment="1" applyProtection="1">
      <alignment horizontal="center"/>
      <protection hidden="1"/>
    </xf>
    <xf numFmtId="164" fontId="54" fillId="5" borderId="35" xfId="4" applyNumberFormat="1" applyFont="1" applyFill="1" applyBorder="1" applyAlignment="1" applyProtection="1">
      <alignment horizontal="center" vertical="center"/>
      <protection hidden="1"/>
    </xf>
    <xf numFmtId="171" fontId="53" fillId="0" borderId="33" xfId="7" applyNumberFormat="1" applyFont="1" applyFill="1" applyBorder="1" applyAlignment="1" applyProtection="1">
      <alignment horizontal="center"/>
      <protection hidden="1"/>
    </xf>
    <xf numFmtId="171" fontId="54" fillId="5" borderId="34" xfId="4" applyNumberFormat="1" applyFont="1" applyFill="1" applyBorder="1" applyAlignment="1" applyProtection="1">
      <alignment horizontal="center" vertical="center"/>
      <protection hidden="1"/>
    </xf>
    <xf numFmtId="171" fontId="53" fillId="0" borderId="52" xfId="7" applyNumberFormat="1" applyFont="1" applyFill="1" applyBorder="1" applyAlignment="1" applyProtection="1">
      <alignment horizontal="center"/>
      <protection hidden="1"/>
    </xf>
    <xf numFmtId="171" fontId="54" fillId="5" borderId="34" xfId="5" applyNumberFormat="1" applyFont="1" applyFill="1" applyBorder="1" applyAlignment="1" applyProtection="1">
      <alignment horizontal="center"/>
      <protection hidden="1"/>
    </xf>
    <xf numFmtId="165" fontId="53" fillId="0" borderId="34" xfId="7" applyNumberFormat="1" applyFont="1" applyFill="1" applyBorder="1" applyAlignment="1" applyProtection="1">
      <alignment horizontal="center" vertical="center"/>
      <protection hidden="1"/>
    </xf>
    <xf numFmtId="169" fontId="54" fillId="5" borderId="34" xfId="3" applyNumberFormat="1" applyFont="1" applyFill="1" applyBorder="1" applyAlignment="1" applyProtection="1">
      <alignment horizontal="center" vertical="center"/>
      <protection hidden="1"/>
    </xf>
    <xf numFmtId="164" fontId="52" fillId="0" borderId="34" xfId="3" applyNumberFormat="1" applyFont="1" applyFill="1" applyBorder="1" applyAlignment="1" applyProtection="1">
      <alignment horizontal="center"/>
      <protection hidden="1"/>
    </xf>
    <xf numFmtId="171" fontId="54" fillId="5" borderId="35" xfId="4" applyNumberFormat="1" applyFont="1" applyFill="1" applyBorder="1" applyAlignment="1" applyProtection="1">
      <alignment horizontal="center" vertical="center"/>
      <protection hidden="1"/>
    </xf>
    <xf numFmtId="169" fontId="52" fillId="0" borderId="34" xfId="4" applyNumberFormat="1" applyFont="1" applyFill="1" applyBorder="1" applyAlignment="1" applyProtection="1">
      <alignment horizontal="center"/>
      <protection hidden="1"/>
    </xf>
    <xf numFmtId="165" fontId="52" fillId="0" borderId="34" xfId="4" applyNumberFormat="1" applyFont="1" applyFill="1" applyBorder="1" applyAlignment="1" applyProtection="1">
      <alignment horizontal="center"/>
      <protection hidden="1"/>
    </xf>
    <xf numFmtId="43" fontId="53" fillId="0" borderId="34" xfId="3" applyNumberFormat="1" applyFont="1" applyFill="1" applyBorder="1" applyAlignment="1" applyProtection="1">
      <alignment horizontal="center"/>
      <protection hidden="1"/>
    </xf>
    <xf numFmtId="43" fontId="52" fillId="0" borderId="35" xfId="3" applyNumberFormat="1" applyFont="1" applyFill="1" applyBorder="1" applyAlignment="1" applyProtection="1">
      <alignment horizontal="center"/>
      <protection hidden="1"/>
    </xf>
    <xf numFmtId="10" fontId="53" fillId="0" borderId="34" xfId="10" applyNumberFormat="1" applyFont="1" applyFill="1" applyBorder="1" applyAlignment="1" applyProtection="1">
      <alignment horizontal="center"/>
      <protection hidden="1"/>
    </xf>
    <xf numFmtId="10" fontId="53" fillId="0" borderId="35" xfId="10" applyNumberFormat="1" applyFont="1" applyFill="1" applyBorder="1" applyAlignment="1" applyProtection="1">
      <alignment horizontal="center"/>
      <protection hidden="1"/>
    </xf>
    <xf numFmtId="172" fontId="52" fillId="0" borderId="31" xfId="3" applyNumberFormat="1" applyFont="1" applyFill="1" applyBorder="1" applyAlignment="1" applyProtection="1">
      <alignment horizontal="center"/>
      <protection hidden="1"/>
    </xf>
    <xf numFmtId="0" fontId="29" fillId="0" borderId="28" xfId="0" applyFont="1" applyBorder="1" applyAlignment="1" applyProtection="1">
      <alignment horizontal="center"/>
      <protection hidden="1"/>
    </xf>
    <xf numFmtId="0" fontId="56" fillId="0" borderId="29" xfId="0" applyFont="1" applyBorder="1" applyAlignment="1" applyProtection="1">
      <alignment horizontal="center"/>
      <protection hidden="1"/>
    </xf>
    <xf numFmtId="0" fontId="29" fillId="0" borderId="27" xfId="0" applyFont="1" applyBorder="1" applyAlignment="1" applyProtection="1">
      <alignment horizontal="center"/>
      <protection hidden="1"/>
    </xf>
    <xf numFmtId="0" fontId="29" fillId="0" borderId="29" xfId="0" applyFont="1" applyBorder="1" applyAlignment="1" applyProtection="1">
      <alignment horizontal="center"/>
      <protection hidden="1"/>
    </xf>
    <xf numFmtId="0" fontId="29" fillId="0" borderId="4" xfId="0" applyFont="1" applyBorder="1" applyAlignment="1" applyProtection="1">
      <alignment horizontal="center"/>
      <protection hidden="1"/>
    </xf>
    <xf numFmtId="0" fontId="51" fillId="0" borderId="42" xfId="0" applyFont="1" applyBorder="1" applyAlignment="1" applyProtection="1">
      <alignment horizontal="center"/>
      <protection hidden="1"/>
    </xf>
    <xf numFmtId="0" fontId="8" fillId="0" borderId="20" xfId="7" applyFont="1" applyBorder="1" applyProtection="1">
      <protection hidden="1"/>
    </xf>
    <xf numFmtId="0" fontId="57" fillId="0" borderId="11" xfId="0" applyFont="1" applyFill="1" applyBorder="1" applyAlignment="1" applyProtection="1">
      <protection hidden="1"/>
    </xf>
    <xf numFmtId="0" fontId="8" fillId="0" borderId="11" xfId="7" applyFont="1" applyBorder="1" applyProtection="1">
      <protection hidden="1"/>
    </xf>
    <xf numFmtId="0" fontId="8" fillId="0" borderId="21" xfId="7" applyFont="1" applyBorder="1" applyProtection="1">
      <protection hidden="1"/>
    </xf>
    <xf numFmtId="0" fontId="57" fillId="0" borderId="12" xfId="0" applyFont="1" applyFill="1" applyBorder="1" applyAlignment="1" applyProtection="1">
      <protection hidden="1"/>
    </xf>
    <xf numFmtId="0" fontId="8" fillId="0" borderId="12" xfId="7" applyFont="1" applyBorder="1" applyProtection="1">
      <protection hidden="1"/>
    </xf>
    <xf numFmtId="0" fontId="8" fillId="0" borderId="22" xfId="7" applyFont="1" applyBorder="1" applyProtection="1">
      <protection hidden="1"/>
    </xf>
    <xf numFmtId="0" fontId="57" fillId="0" borderId="13" xfId="0" applyFont="1" applyFill="1" applyBorder="1" applyAlignment="1" applyProtection="1">
      <protection hidden="1"/>
    </xf>
    <xf numFmtId="0" fontId="8" fillId="0" borderId="13" xfId="7" applyFont="1" applyBorder="1" applyProtection="1">
      <protection hidden="1"/>
    </xf>
    <xf numFmtId="1" fontId="25" fillId="0" borderId="5" xfId="3" applyNumberFormat="1" applyFont="1" applyBorder="1" applyProtection="1">
      <protection locked="0" hidden="1"/>
    </xf>
    <xf numFmtId="1" fontId="25" fillId="0" borderId="39" xfId="3" applyNumberFormat="1" applyFont="1" applyBorder="1" applyProtection="1">
      <protection locked="0" hidden="1"/>
    </xf>
    <xf numFmtId="171" fontId="25" fillId="0" borderId="5" xfId="0" applyNumberFormat="1" applyFont="1" applyBorder="1" applyProtection="1">
      <protection locked="0"/>
    </xf>
    <xf numFmtId="2" fontId="25" fillId="0" borderId="39" xfId="0" applyNumberFormat="1" applyFont="1" applyBorder="1" applyProtection="1">
      <protection locked="0" hidden="1"/>
    </xf>
    <xf numFmtId="0" fontId="29" fillId="0" borderId="11" xfId="0" applyFont="1" applyFill="1" applyBorder="1" applyAlignment="1" applyProtection="1">
      <alignment horizontal="center" vertical="center"/>
      <protection hidden="1"/>
    </xf>
    <xf numFmtId="165" fontId="29" fillId="0" borderId="12" xfId="3" applyNumberFormat="1" applyFont="1" applyFill="1" applyBorder="1" applyAlignment="1" applyProtection="1">
      <alignment horizontal="center" vertical="center"/>
      <protection hidden="1"/>
    </xf>
    <xf numFmtId="14" fontId="29" fillId="0" borderId="67" xfId="0" applyNumberFormat="1" applyFont="1" applyFill="1" applyBorder="1" applyAlignment="1" applyProtection="1">
      <alignment horizontal="center" vertical="center"/>
      <protection hidden="1"/>
    </xf>
    <xf numFmtId="0" fontId="29" fillId="0" borderId="13" xfId="0" applyFont="1" applyFill="1" applyBorder="1" applyAlignment="1" applyProtection="1">
      <alignment horizontal="center" vertical="center"/>
      <protection hidden="1"/>
    </xf>
    <xf numFmtId="172" fontId="29" fillId="0" borderId="12" xfId="3" applyNumberFormat="1" applyFont="1" applyFill="1" applyBorder="1" applyAlignment="1" applyProtection="1">
      <alignment horizontal="center" vertical="center" readingOrder="1"/>
      <protection hidden="1"/>
    </xf>
    <xf numFmtId="0" fontId="29" fillId="0" borderId="11" xfId="7" applyNumberFormat="1" applyFont="1" applyFill="1" applyBorder="1" applyAlignment="1" applyProtection="1">
      <alignment horizontal="center" vertical="center"/>
      <protection hidden="1"/>
    </xf>
    <xf numFmtId="0" fontId="29" fillId="0" borderId="12" xfId="7" applyNumberFormat="1" applyFont="1" applyFill="1" applyBorder="1" applyAlignment="1" applyProtection="1">
      <alignment horizontal="center" vertical="center"/>
      <protection hidden="1"/>
    </xf>
    <xf numFmtId="0" fontId="29" fillId="0" borderId="13" xfId="7" applyNumberFormat="1" applyFont="1" applyFill="1" applyBorder="1" applyAlignment="1" applyProtection="1">
      <alignment horizontal="center" vertical="center"/>
      <protection hidden="1"/>
    </xf>
    <xf numFmtId="0" fontId="29" fillId="0" borderId="11" xfId="7" applyFont="1" applyFill="1" applyBorder="1" applyAlignment="1" applyProtection="1">
      <alignment horizontal="center" vertical="center"/>
      <protection hidden="1"/>
    </xf>
    <xf numFmtId="14" fontId="29" fillId="0" borderId="12" xfId="7" applyNumberFormat="1" applyFont="1" applyFill="1" applyBorder="1" applyAlignment="1" applyProtection="1">
      <alignment horizontal="center" vertical="center"/>
      <protection hidden="1"/>
    </xf>
    <xf numFmtId="14" fontId="29" fillId="0" borderId="13" xfId="7" applyNumberFormat="1" applyFont="1" applyFill="1" applyBorder="1" applyAlignment="1" applyProtection="1">
      <alignment horizontal="center" vertical="center"/>
      <protection hidden="1"/>
    </xf>
    <xf numFmtId="0" fontId="29" fillId="0" borderId="11" xfId="0" applyFont="1" applyFill="1" applyBorder="1" applyAlignment="1" applyProtection="1">
      <alignment horizontal="center"/>
      <protection hidden="1"/>
    </xf>
    <xf numFmtId="0" fontId="29" fillId="0" borderId="12" xfId="0" applyFont="1" applyFill="1" applyBorder="1" applyAlignment="1" applyProtection="1">
      <alignment horizontal="center"/>
      <protection hidden="1"/>
    </xf>
    <xf numFmtId="0" fontId="29" fillId="0" borderId="13" xfId="0" applyFont="1" applyFill="1" applyBorder="1" applyAlignment="1" applyProtection="1">
      <alignment horizontal="center"/>
      <protection hidden="1"/>
    </xf>
    <xf numFmtId="0" fontId="29" fillId="0" borderId="12" xfId="0" applyFont="1" applyFill="1" applyBorder="1" applyAlignment="1" applyProtection="1">
      <alignment horizontal="center" vertical="center"/>
      <protection hidden="1"/>
    </xf>
    <xf numFmtId="0" fontId="51" fillId="0" borderId="0" xfId="0" applyFont="1" applyBorder="1" applyAlignment="1" applyProtection="1">
      <alignment horizontal="center"/>
      <protection hidden="1"/>
    </xf>
    <xf numFmtId="0" fontId="21" fillId="0" borderId="42" xfId="7" applyFont="1" applyBorder="1" applyAlignment="1" applyProtection="1">
      <protection hidden="1"/>
    </xf>
    <xf numFmtId="0" fontId="21" fillId="0" borderId="0" xfId="7" applyFont="1" applyAlignment="1" applyProtection="1">
      <protection hidden="1"/>
    </xf>
    <xf numFmtId="0" fontId="51" fillId="0" borderId="28" xfId="0" applyFont="1" applyBorder="1" applyAlignment="1" applyProtection="1">
      <protection hidden="1"/>
    </xf>
    <xf numFmtId="0" fontId="51" fillId="0" borderId="27" xfId="0" applyFont="1" applyBorder="1" applyAlignment="1" applyProtection="1">
      <protection hidden="1"/>
    </xf>
    <xf numFmtId="0" fontId="51" fillId="0" borderId="3" xfId="0" applyFont="1" applyBorder="1" applyAlignment="1" applyProtection="1">
      <protection hidden="1"/>
    </xf>
    <xf numFmtId="0" fontId="51" fillId="0" borderId="29" xfId="0" applyFont="1" applyBorder="1" applyAlignment="1" applyProtection="1">
      <protection hidden="1"/>
    </xf>
    <xf numFmtId="0" fontId="51" fillId="0" borderId="0" xfId="0" applyFont="1" applyBorder="1" applyAlignment="1" applyProtection="1">
      <protection hidden="1"/>
    </xf>
    <xf numFmtId="0" fontId="51" fillId="0" borderId="4" xfId="0" applyFont="1" applyBorder="1" applyAlignment="1" applyProtection="1">
      <protection hidden="1"/>
    </xf>
    <xf numFmtId="0" fontId="51" fillId="0" borderId="42" xfId="0" applyFont="1" applyBorder="1" applyAlignment="1" applyProtection="1">
      <protection hidden="1"/>
    </xf>
    <xf numFmtId="0" fontId="50" fillId="0" borderId="42" xfId="7" applyFont="1" applyBorder="1" applyAlignment="1" applyProtection="1">
      <protection hidden="1"/>
    </xf>
    <xf numFmtId="0" fontId="50" fillId="0" borderId="0" xfId="7" applyFont="1" applyAlignment="1" applyProtection="1">
      <protection hidden="1"/>
    </xf>
    <xf numFmtId="0" fontId="2" fillId="0" borderId="0" xfId="0" applyFont="1" applyAlignment="1">
      <alignment horizontal="center" vertical="center" wrapText="1"/>
    </xf>
    <xf numFmtId="0" fontId="51" fillId="0" borderId="45" xfId="0" applyFont="1" applyBorder="1" applyAlignment="1" applyProtection="1">
      <alignment horizontal="center"/>
      <protection hidden="1"/>
    </xf>
    <xf numFmtId="0" fontId="51" fillId="0" borderId="27" xfId="0" applyFont="1" applyBorder="1" applyAlignment="1" applyProtection="1">
      <alignment horizontal="center"/>
      <protection hidden="1"/>
    </xf>
    <xf numFmtId="0" fontId="51" fillId="0" borderId="4" xfId="0" applyFont="1" applyBorder="1" applyAlignment="1" applyProtection="1">
      <alignment horizontal="center"/>
      <protection hidden="1"/>
    </xf>
    <xf numFmtId="0" fontId="51" fillId="0" borderId="42" xfId="0" applyFont="1" applyFill="1" applyBorder="1" applyAlignment="1" applyProtection="1">
      <alignment horizontal="center" vertical="center" wrapText="1"/>
      <protection hidden="1"/>
    </xf>
    <xf numFmtId="0" fontId="51" fillId="0" borderId="0" xfId="0" applyFont="1" applyBorder="1" applyAlignment="1" applyProtection="1">
      <alignment horizontal="center"/>
      <protection hidden="1"/>
    </xf>
    <xf numFmtId="0" fontId="2" fillId="0" borderId="0" xfId="0" applyFont="1" applyFill="1"/>
    <xf numFmtId="0" fontId="37" fillId="0" borderId="0" xfId="0" applyFont="1" applyProtection="1">
      <protection hidden="1"/>
    </xf>
    <xf numFmtId="0" fontId="34" fillId="0" borderId="68" xfId="0" applyFont="1" applyFill="1" applyBorder="1" applyAlignment="1" applyProtection="1">
      <alignment horizontal="center"/>
      <protection hidden="1"/>
    </xf>
    <xf numFmtId="0" fontId="24" fillId="0" borderId="1" xfId="0" applyFont="1" applyFill="1" applyBorder="1" applyAlignment="1" applyProtection="1">
      <alignment horizontal="center"/>
      <protection hidden="1"/>
    </xf>
    <xf numFmtId="0" fontId="24" fillId="0" borderId="6" xfId="0" applyFont="1" applyFill="1" applyBorder="1" applyAlignment="1" applyProtection="1">
      <alignment horizontal="center"/>
      <protection hidden="1"/>
    </xf>
    <xf numFmtId="0" fontId="25" fillId="0" borderId="7" xfId="0" applyFont="1" applyBorder="1" applyAlignment="1" applyProtection="1">
      <alignment horizontal="center" vertical="center"/>
      <protection hidden="1"/>
    </xf>
    <xf numFmtId="2" fontId="25" fillId="0" borderId="2" xfId="0" applyNumberFormat="1" applyFont="1" applyBorder="1" applyAlignment="1" applyProtection="1">
      <alignment horizontal="center"/>
      <protection hidden="1"/>
    </xf>
    <xf numFmtId="171" fontId="25" fillId="0" borderId="2" xfId="0" applyNumberFormat="1" applyFont="1" applyBorder="1" applyAlignment="1" applyProtection="1">
      <alignment horizontal="center"/>
      <protection hidden="1"/>
    </xf>
    <xf numFmtId="171" fontId="27" fillId="0" borderId="2" xfId="0" applyNumberFormat="1" applyFont="1" applyBorder="1" applyAlignment="1" applyProtection="1">
      <alignment horizontal="center"/>
      <protection hidden="1"/>
    </xf>
    <xf numFmtId="171" fontId="25" fillId="0" borderId="8" xfId="0" applyNumberFormat="1" applyFont="1" applyBorder="1" applyAlignment="1" applyProtection="1">
      <alignment horizontal="center"/>
      <protection hidden="1"/>
    </xf>
    <xf numFmtId="0" fontId="25" fillId="0" borderId="33" xfId="0" applyFont="1" applyBorder="1" applyAlignment="1" applyProtection="1">
      <alignment horizontal="center" vertical="center"/>
      <protection hidden="1"/>
    </xf>
    <xf numFmtId="2" fontId="25" fillId="0" borderId="34" xfId="0" applyNumberFormat="1" applyFont="1" applyBorder="1" applyAlignment="1" applyProtection="1">
      <alignment horizontal="center"/>
      <protection hidden="1"/>
    </xf>
    <xf numFmtId="171" fontId="25" fillId="0" borderId="34" xfId="0" applyNumberFormat="1" applyFont="1" applyBorder="1" applyAlignment="1" applyProtection="1">
      <alignment horizontal="center"/>
      <protection hidden="1"/>
    </xf>
    <xf numFmtId="171" fontId="27" fillId="0" borderId="34" xfId="0" applyNumberFormat="1" applyFont="1" applyBorder="1" applyAlignment="1" applyProtection="1">
      <alignment horizontal="center"/>
      <protection hidden="1"/>
    </xf>
    <xf numFmtId="165" fontId="25" fillId="0" borderId="34" xfId="3" applyNumberFormat="1" applyFont="1" applyBorder="1" applyAlignment="1" applyProtection="1">
      <alignment horizontal="center"/>
      <protection hidden="1"/>
    </xf>
    <xf numFmtId="171" fontId="25" fillId="0" borderId="35" xfId="0" applyNumberFormat="1" applyFont="1" applyBorder="1" applyAlignment="1" applyProtection="1">
      <alignment horizontal="center"/>
      <protection hidden="1"/>
    </xf>
    <xf numFmtId="0" fontId="51" fillId="0" borderId="45" xfId="0" applyFont="1" applyFill="1" applyBorder="1" applyAlignment="1" applyProtection="1">
      <alignment horizontal="center" vertical="center" wrapText="1"/>
      <protection hidden="1"/>
    </xf>
    <xf numFmtId="41" fontId="25" fillId="0" borderId="69" xfId="3" applyNumberFormat="1" applyFont="1" applyBorder="1" applyProtection="1">
      <protection locked="0" hidden="1"/>
    </xf>
    <xf numFmtId="0" fontId="1" fillId="0" borderId="0" xfId="11"/>
    <xf numFmtId="176" fontId="53" fillId="0" borderId="2" xfId="3" applyNumberFormat="1" applyFont="1" applyFill="1" applyBorder="1" applyAlignment="1" applyProtection="1">
      <alignment horizontal="center"/>
      <protection hidden="1"/>
    </xf>
    <xf numFmtId="176" fontId="53" fillId="0" borderId="34" xfId="3" applyNumberFormat="1" applyFont="1" applyFill="1" applyBorder="1" applyAlignment="1" applyProtection="1">
      <alignment horizontal="center"/>
      <protection hidden="1"/>
    </xf>
    <xf numFmtId="0" fontId="27" fillId="0" borderId="27" xfId="0" applyNumberFormat="1" applyFont="1" applyBorder="1" applyAlignment="1" applyProtection="1">
      <alignment horizontal="center" vertical="center"/>
      <protection hidden="1"/>
    </xf>
    <xf numFmtId="1" fontId="27" fillId="4" borderId="48" xfId="3" applyNumberFormat="1" applyFont="1" applyFill="1" applyBorder="1" applyAlignment="1" applyProtection="1">
      <alignment horizontal="center" vertical="center"/>
      <protection hidden="1"/>
    </xf>
    <xf numFmtId="1" fontId="27" fillId="4" borderId="2" xfId="3" applyNumberFormat="1" applyFont="1" applyFill="1" applyBorder="1" applyAlignment="1" applyProtection="1">
      <alignment horizontal="center" vertical="center"/>
      <protection hidden="1"/>
    </xf>
    <xf numFmtId="1" fontId="27" fillId="4" borderId="34" xfId="3" applyNumberFormat="1" applyFont="1" applyFill="1" applyBorder="1" applyAlignment="1" applyProtection="1">
      <alignment horizontal="center" vertical="center"/>
      <protection hidden="1"/>
    </xf>
    <xf numFmtId="172" fontId="27" fillId="4" borderId="48" xfId="3" applyNumberFormat="1" applyFont="1" applyFill="1" applyBorder="1" applyAlignment="1" applyProtection="1">
      <alignment horizontal="center" vertical="center"/>
      <protection hidden="1"/>
    </xf>
    <xf numFmtId="172" fontId="27" fillId="4" borderId="2" xfId="3" applyNumberFormat="1" applyFont="1" applyFill="1" applyBorder="1" applyAlignment="1" applyProtection="1">
      <alignment horizontal="center" vertical="center"/>
      <protection hidden="1"/>
    </xf>
    <xf numFmtId="172" fontId="27" fillId="4" borderId="34" xfId="3" applyNumberFormat="1" applyFont="1" applyFill="1" applyBorder="1" applyAlignment="1" applyProtection="1">
      <alignment horizontal="center" vertical="center"/>
      <protection hidden="1"/>
    </xf>
    <xf numFmtId="14" fontId="25" fillId="0" borderId="41" xfId="0" applyNumberFormat="1" applyFont="1" applyBorder="1" applyAlignment="1" applyProtection="1">
      <alignment horizontal="center" vertical="center"/>
      <protection hidden="1"/>
    </xf>
    <xf numFmtId="14" fontId="25" fillId="0" borderId="30" xfId="0" applyNumberFormat="1" applyFont="1" applyBorder="1" applyAlignment="1" applyProtection="1">
      <alignment horizontal="center" vertical="center"/>
      <protection hidden="1"/>
    </xf>
    <xf numFmtId="14" fontId="25" fillId="0" borderId="31" xfId="0" applyNumberFormat="1" applyFont="1" applyBorder="1" applyAlignment="1" applyProtection="1">
      <alignment horizontal="center" vertical="center"/>
      <protection hidden="1"/>
    </xf>
    <xf numFmtId="14" fontId="27" fillId="0" borderId="2" xfId="3" applyNumberFormat="1" applyFont="1" applyBorder="1" applyAlignment="1" applyProtection="1">
      <alignment horizontal="center"/>
      <protection hidden="1"/>
    </xf>
    <xf numFmtId="14" fontId="27" fillId="0" borderId="1" xfId="3" applyNumberFormat="1" applyFont="1" applyBorder="1" applyAlignment="1" applyProtection="1">
      <alignment horizontal="center"/>
      <protection hidden="1"/>
    </xf>
    <xf numFmtId="14" fontId="24" fillId="0" borderId="1" xfId="3" applyNumberFormat="1" applyFont="1" applyBorder="1" applyAlignment="1" applyProtection="1">
      <alignment horizontal="center"/>
      <protection hidden="1"/>
    </xf>
    <xf numFmtId="14" fontId="24" fillId="0" borderId="50" xfId="3" applyNumberFormat="1" applyFont="1" applyBorder="1" applyAlignment="1" applyProtection="1">
      <alignment horizontal="center"/>
      <protection hidden="1"/>
    </xf>
    <xf numFmtId="172" fontId="25" fillId="0" borderId="2" xfId="3" applyNumberFormat="1" applyFont="1" applyBorder="1" applyAlignment="1" applyProtection="1">
      <alignment horizontal="center"/>
      <protection hidden="1"/>
    </xf>
    <xf numFmtId="172" fontId="24" fillId="3" borderId="2" xfId="3" applyNumberFormat="1" applyFont="1" applyFill="1" applyBorder="1" applyAlignment="1" applyProtection="1">
      <alignment horizontal="center"/>
      <protection hidden="1"/>
    </xf>
    <xf numFmtId="172" fontId="24" fillId="3" borderId="34" xfId="3" applyNumberFormat="1" applyFont="1" applyFill="1" applyBorder="1" applyAlignment="1" applyProtection="1">
      <alignment horizontal="center"/>
      <protection hidden="1"/>
    </xf>
    <xf numFmtId="14" fontId="24" fillId="4" borderId="5" xfId="7" applyNumberFormat="1" applyFont="1" applyFill="1" applyBorder="1" applyAlignment="1" applyProtection="1">
      <alignment horizontal="center"/>
      <protection hidden="1"/>
    </xf>
    <xf numFmtId="14" fontId="26" fillId="0" borderId="1" xfId="7" applyNumberFormat="1" applyFont="1" applyFill="1" applyBorder="1" applyAlignment="1" applyProtection="1">
      <alignment horizontal="center"/>
      <protection hidden="1"/>
    </xf>
    <xf numFmtId="14" fontId="26" fillId="0" borderId="56" xfId="8" applyNumberFormat="1" applyFont="1" applyFill="1" applyBorder="1" applyAlignment="1" applyProtection="1">
      <alignment horizontal="center"/>
      <protection hidden="1"/>
    </xf>
    <xf numFmtId="0" fontId="25" fillId="0" borderId="37"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172" fontId="29" fillId="0" borderId="12" xfId="3" applyNumberFormat="1" applyFont="1" applyFill="1" applyBorder="1" applyAlignment="1" applyProtection="1">
      <alignment horizontal="center" vertical="center"/>
      <protection hidden="1"/>
    </xf>
    <xf numFmtId="14" fontId="29" fillId="0" borderId="12" xfId="0" applyNumberFormat="1" applyFont="1" applyFill="1" applyBorder="1" applyAlignment="1" applyProtection="1">
      <alignment horizontal="center" vertical="center"/>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14" fontId="52" fillId="0" borderId="8" xfId="7" applyNumberFormat="1" applyFont="1" applyFill="1" applyBorder="1" applyAlignment="1" applyProtection="1">
      <alignment horizontal="center"/>
      <protection hidden="1"/>
    </xf>
    <xf numFmtId="14" fontId="52" fillId="0" borderId="35" xfId="7" applyNumberFormat="1" applyFont="1" applyFill="1" applyBorder="1" applyAlignment="1" applyProtection="1">
      <alignment horizontal="center"/>
      <protection hidden="1"/>
    </xf>
    <xf numFmtId="172" fontId="27" fillId="0" borderId="7" xfId="3" applyNumberFormat="1" applyFont="1" applyBorder="1" applyAlignment="1" applyProtection="1">
      <alignment horizontal="center"/>
      <protection hidden="1"/>
    </xf>
    <xf numFmtId="172" fontId="24" fillId="3" borderId="7" xfId="3" applyNumberFormat="1" applyFont="1" applyFill="1" applyBorder="1" applyAlignment="1" applyProtection="1">
      <alignment horizontal="center"/>
      <protection hidden="1"/>
    </xf>
    <xf numFmtId="172" fontId="24" fillId="3" borderId="33" xfId="3" applyNumberFormat="1" applyFont="1" applyFill="1" applyBorder="1" applyAlignment="1" applyProtection="1">
      <alignment horizontal="center"/>
      <protection hidden="1"/>
    </xf>
    <xf numFmtId="0" fontId="51" fillId="0" borderId="53" xfId="0" applyFont="1" applyFill="1" applyBorder="1" applyAlignment="1" applyProtection="1">
      <alignment horizontal="center" vertical="top"/>
      <protection hidden="1"/>
    </xf>
    <xf numFmtId="0" fontId="50" fillId="0" borderId="0" xfId="7" applyFont="1" applyAlignment="1" applyProtection="1">
      <alignment vertical="top"/>
      <protection hidden="1"/>
    </xf>
    <xf numFmtId="172" fontId="27" fillId="0" borderId="2" xfId="3" applyNumberFormat="1" applyFont="1" applyBorder="1" applyAlignment="1" applyProtection="1">
      <alignment horizontal="center"/>
      <protection hidden="1"/>
    </xf>
    <xf numFmtId="172" fontId="27" fillId="0" borderId="34" xfId="3" applyNumberFormat="1" applyFont="1" applyBorder="1" applyAlignment="1" applyProtection="1">
      <alignment horizontal="center"/>
      <protection hidden="1"/>
    </xf>
    <xf numFmtId="0" fontId="16" fillId="0" borderId="0" xfId="7" applyFont="1" applyBorder="1" applyAlignment="1" applyProtection="1">
      <alignment horizontal="center" wrapText="1"/>
      <protection hidden="1"/>
    </xf>
    <xf numFmtId="0" fontId="61" fillId="0" borderId="0" xfId="0" applyFont="1"/>
    <xf numFmtId="0" fontId="2" fillId="0" borderId="0" xfId="0" quotePrefix="1" applyFont="1"/>
    <xf numFmtId="0" fontId="2" fillId="3" borderId="0" xfId="0" applyFont="1" applyFill="1" applyBorder="1"/>
    <xf numFmtId="0" fontId="2" fillId="3" borderId="0" xfId="0" applyFont="1" applyFill="1"/>
    <xf numFmtId="0" fontId="40" fillId="0" borderId="0" xfId="0" applyFont="1" applyAlignment="1" applyProtection="1">
      <alignment horizontal="center"/>
      <protection hidden="1"/>
    </xf>
    <xf numFmtId="0" fontId="38" fillId="4" borderId="0" xfId="0" applyFont="1" applyFill="1" applyAlignment="1" applyProtection="1">
      <alignment horizontal="center"/>
      <protection hidden="1"/>
    </xf>
    <xf numFmtId="0" fontId="39" fillId="0" borderId="0" xfId="0" applyFont="1" applyAlignment="1" applyProtection="1">
      <alignment horizontal="center"/>
      <protection hidden="1"/>
    </xf>
    <xf numFmtId="0" fontId="22" fillId="0" borderId="0" xfId="0" applyFont="1" applyBorder="1" applyAlignment="1" applyProtection="1">
      <alignment horizontal="center"/>
      <protection hidden="1"/>
    </xf>
    <xf numFmtId="0" fontId="22" fillId="0" borderId="42" xfId="0" applyFont="1" applyBorder="1" applyAlignment="1" applyProtection="1">
      <alignment horizontal="center"/>
      <protection hidden="1"/>
    </xf>
    <xf numFmtId="0" fontId="23" fillId="0" borderId="0" xfId="1" applyFont="1" applyBorder="1" applyAlignment="1" applyProtection="1">
      <alignment horizontal="center"/>
      <protection hidden="1"/>
    </xf>
    <xf numFmtId="0" fontId="23" fillId="0" borderId="42" xfId="1" applyFont="1" applyBorder="1" applyAlignment="1" applyProtection="1">
      <alignment horizontal="center"/>
      <protection hidden="1"/>
    </xf>
    <xf numFmtId="0" fontId="12" fillId="0" borderId="0" xfId="7" applyFont="1" applyBorder="1" applyAlignment="1" applyProtection="1">
      <alignment horizontal="center" wrapText="1"/>
      <protection hidden="1"/>
    </xf>
    <xf numFmtId="0" fontId="6" fillId="0" borderId="58"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59" xfId="0" applyFont="1" applyBorder="1" applyAlignment="1" applyProtection="1">
      <alignment horizontal="left" vertical="center"/>
      <protection hidden="1"/>
    </xf>
    <xf numFmtId="0" fontId="5" fillId="0" borderId="0" xfId="0" applyFont="1" applyAlignment="1" applyProtection="1">
      <alignment horizontal="center"/>
      <protection hidden="1"/>
    </xf>
    <xf numFmtId="0" fontId="22" fillId="0" borderId="0" xfId="0" applyFont="1" applyAlignment="1" applyProtection="1">
      <alignment horizontal="center"/>
      <protection hidden="1"/>
    </xf>
    <xf numFmtId="0" fontId="2" fillId="0" borderId="0" xfId="0" applyFont="1" applyAlignment="1">
      <alignment horizontal="center" vertical="center" wrapText="1"/>
    </xf>
    <xf numFmtId="0" fontId="0" fillId="0" borderId="0" xfId="0"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hidden="1"/>
    </xf>
    <xf numFmtId="0" fontId="10" fillId="0" borderId="36" xfId="0" applyFont="1" applyBorder="1" applyAlignment="1" applyProtection="1">
      <alignment horizontal="center" wrapText="1"/>
      <protection hidden="1"/>
    </xf>
    <xf numFmtId="0" fontId="29" fillId="0" borderId="60" xfId="7" applyFont="1" applyFill="1" applyBorder="1" applyAlignment="1" applyProtection="1">
      <alignment horizontal="left" vertical="center" wrapText="1"/>
      <protection hidden="1"/>
    </xf>
    <xf numFmtId="0" fontId="29" fillId="0" borderId="12" xfId="7" applyFont="1" applyFill="1" applyBorder="1" applyAlignment="1" applyProtection="1">
      <alignment horizontal="left" vertical="center" wrapText="1"/>
      <protection hidden="1"/>
    </xf>
    <xf numFmtId="0" fontId="29" fillId="0" borderId="60" xfId="7" applyFont="1" applyFill="1" applyBorder="1" applyAlignment="1" applyProtection="1">
      <alignment horizontal="left" vertical="center"/>
      <protection hidden="1"/>
    </xf>
    <xf numFmtId="0" fontId="29" fillId="0" borderId="12" xfId="7" applyFont="1" applyFill="1" applyBorder="1" applyAlignment="1" applyProtection="1">
      <alignment horizontal="left" vertical="center"/>
      <protection hidden="1"/>
    </xf>
    <xf numFmtId="0" fontId="41" fillId="0" borderId="0" xfId="7" applyFont="1" applyBorder="1" applyAlignment="1" applyProtection="1">
      <alignment horizontal="center" wrapText="1"/>
      <protection hidden="1"/>
    </xf>
    <xf numFmtId="0" fontId="42" fillId="0" borderId="0" xfId="7" applyFont="1" applyBorder="1" applyAlignment="1" applyProtection="1">
      <alignment horizontal="center" wrapText="1"/>
      <protection hidden="1"/>
    </xf>
    <xf numFmtId="0" fontId="27" fillId="0" borderId="51" xfId="0" applyFont="1" applyFill="1" applyBorder="1" applyAlignment="1" applyProtection="1">
      <alignment horizontal="center" vertical="center" wrapText="1"/>
      <protection hidden="1"/>
    </xf>
    <xf numFmtId="0" fontId="27" fillId="0" borderId="66" xfId="0" applyFont="1" applyFill="1" applyBorder="1" applyAlignment="1" applyProtection="1">
      <alignment horizontal="center" vertical="center" wrapText="1"/>
      <protection hidden="1"/>
    </xf>
    <xf numFmtId="0" fontId="27" fillId="0" borderId="61" xfId="0" applyFont="1" applyFill="1" applyBorder="1" applyAlignment="1" applyProtection="1">
      <alignment horizontal="center" vertical="center" wrapText="1"/>
      <protection hidden="1"/>
    </xf>
    <xf numFmtId="0" fontId="27" fillId="0" borderId="14"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9" fillId="0" borderId="21" xfId="7" applyFont="1" applyFill="1" applyBorder="1" applyAlignment="1" applyProtection="1">
      <alignment horizontal="left" wrapText="1"/>
      <protection hidden="1"/>
    </xf>
    <xf numFmtId="0" fontId="29" fillId="0" borderId="12" xfId="7" applyFont="1" applyFill="1" applyBorder="1" applyAlignment="1" applyProtection="1">
      <alignment horizontal="left" wrapText="1"/>
      <protection hidden="1"/>
    </xf>
    <xf numFmtId="0" fontId="27" fillId="0" borderId="4"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27" fillId="0" borderId="3" xfId="0" applyFont="1" applyFill="1" applyBorder="1" applyAlignment="1" applyProtection="1">
      <alignment horizontal="center" vertical="center" wrapText="1"/>
      <protection hidden="1"/>
    </xf>
    <xf numFmtId="166" fontId="27" fillId="0" borderId="23" xfId="0" applyNumberFormat="1" applyFont="1" applyFill="1" applyBorder="1" applyAlignment="1" applyProtection="1">
      <alignment horizontal="center" vertical="center" wrapText="1"/>
      <protection hidden="1"/>
    </xf>
    <xf numFmtId="166" fontId="27" fillId="0" borderId="3" xfId="0" applyNumberFormat="1" applyFont="1" applyFill="1" applyBorder="1" applyAlignment="1" applyProtection="1">
      <alignment horizontal="center" vertical="center" wrapText="1"/>
      <protection hidden="1"/>
    </xf>
    <xf numFmtId="2" fontId="27" fillId="0" borderId="23" xfId="0" applyNumberFormat="1" applyFont="1" applyFill="1" applyBorder="1" applyAlignment="1" applyProtection="1">
      <alignment horizontal="center" vertical="center" wrapText="1"/>
      <protection hidden="1"/>
    </xf>
    <xf numFmtId="2" fontId="27" fillId="0" borderId="3"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7" xfId="0" applyFont="1" applyFill="1" applyBorder="1" applyAlignment="1" applyProtection="1">
      <alignment horizontal="center" vertical="center" wrapText="1"/>
      <protection hidden="1"/>
    </xf>
    <xf numFmtId="0" fontId="27" fillId="0" borderId="62"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16" fillId="0" borderId="0" xfId="7" applyFont="1" applyBorder="1" applyAlignment="1" applyProtection="1">
      <alignment horizontal="center" wrapText="1"/>
      <protection hidden="1"/>
    </xf>
    <xf numFmtId="0" fontId="51" fillId="0" borderId="32" xfId="0" applyFont="1" applyFill="1" applyBorder="1" applyAlignment="1" applyProtection="1">
      <alignment horizontal="center" vertical="top"/>
      <protection hidden="1"/>
    </xf>
    <xf numFmtId="0" fontId="51" fillId="0" borderId="23" xfId="0" applyFont="1" applyFill="1" applyBorder="1" applyAlignment="1" applyProtection="1">
      <alignment horizontal="center" vertical="top"/>
      <protection hidden="1"/>
    </xf>
    <xf numFmtId="0" fontId="51" fillId="0" borderId="62" xfId="0" applyFont="1" applyFill="1" applyBorder="1" applyAlignment="1" applyProtection="1">
      <alignment horizontal="center" vertical="top"/>
      <protection hidden="1"/>
    </xf>
    <xf numFmtId="0" fontId="51" fillId="0" borderId="4" xfId="0" applyFont="1" applyBorder="1" applyAlignment="1" applyProtection="1">
      <alignment horizontal="center"/>
      <protection hidden="1"/>
    </xf>
    <xf numFmtId="0" fontId="51" fillId="0" borderId="0" xfId="0" applyFont="1" applyBorder="1" applyAlignment="1" applyProtection="1">
      <alignment horizontal="center"/>
      <protection hidden="1"/>
    </xf>
    <xf numFmtId="0" fontId="51" fillId="0" borderId="27" xfId="0" applyFont="1" applyBorder="1" applyAlignment="1" applyProtection="1">
      <alignment horizontal="center"/>
      <protection hidden="1"/>
    </xf>
    <xf numFmtId="0" fontId="51" fillId="0" borderId="15" xfId="0" applyFont="1" applyFill="1" applyBorder="1" applyAlignment="1" applyProtection="1">
      <alignment horizontal="center" vertical="top"/>
      <protection hidden="1"/>
    </xf>
    <xf numFmtId="0" fontId="51" fillId="0" borderId="14" xfId="0" applyFont="1" applyFill="1" applyBorder="1" applyAlignment="1" applyProtection="1">
      <alignment horizontal="center" vertical="top"/>
      <protection hidden="1"/>
    </xf>
    <xf numFmtId="0" fontId="51" fillId="0" borderId="53" xfId="0" applyFont="1" applyFill="1" applyBorder="1" applyAlignment="1" applyProtection="1">
      <alignment horizontal="center" vertical="top"/>
      <protection hidden="1"/>
    </xf>
    <xf numFmtId="0" fontId="58" fillId="0" borderId="0" xfId="7" applyFont="1" applyBorder="1" applyAlignment="1" applyProtection="1">
      <alignment horizontal="center" wrapText="1"/>
      <protection hidden="1"/>
    </xf>
    <xf numFmtId="0" fontId="51" fillId="0" borderId="24" xfId="0" applyFont="1" applyFill="1" applyBorder="1" applyAlignment="1" applyProtection="1">
      <alignment horizontal="center" vertical="top"/>
      <protection hidden="1"/>
    </xf>
    <xf numFmtId="0" fontId="51" fillId="0" borderId="45" xfId="0" applyFont="1" applyBorder="1" applyAlignment="1" applyProtection="1">
      <alignment horizontal="center"/>
      <protection hidden="1"/>
    </xf>
    <xf numFmtId="0" fontId="57" fillId="0" borderId="11" xfId="0" applyFont="1" applyFill="1" applyBorder="1" applyAlignment="1" applyProtection="1">
      <alignment horizontal="center" vertical="center"/>
      <protection hidden="1"/>
    </xf>
    <xf numFmtId="0" fontId="57" fillId="0" borderId="17" xfId="0" applyFont="1" applyFill="1" applyBorder="1" applyAlignment="1" applyProtection="1">
      <alignment horizontal="center" vertical="center"/>
      <protection hidden="1"/>
    </xf>
    <xf numFmtId="172" fontId="57" fillId="0" borderId="12" xfId="3" applyNumberFormat="1" applyFont="1" applyFill="1" applyBorder="1" applyAlignment="1" applyProtection="1">
      <alignment horizontal="center" vertical="center"/>
      <protection hidden="1"/>
    </xf>
    <xf numFmtId="172" fontId="57" fillId="0" borderId="18" xfId="3" applyNumberFormat="1" applyFont="1" applyFill="1" applyBorder="1" applyAlignment="1" applyProtection="1">
      <alignment horizontal="center" vertical="center"/>
      <protection hidden="1"/>
    </xf>
    <xf numFmtId="14" fontId="57" fillId="0" borderId="12" xfId="0" applyNumberFormat="1" applyFont="1" applyFill="1" applyBorder="1" applyAlignment="1" applyProtection="1">
      <alignment horizontal="center" vertical="center"/>
      <protection hidden="1"/>
    </xf>
    <xf numFmtId="14" fontId="57" fillId="0" borderId="18" xfId="0" applyNumberFormat="1" applyFont="1" applyFill="1" applyBorder="1" applyAlignment="1" applyProtection="1">
      <alignment horizontal="center" vertical="center"/>
      <protection hidden="1"/>
    </xf>
    <xf numFmtId="0" fontId="57" fillId="0" borderId="13" xfId="0" applyFont="1" applyFill="1" applyBorder="1" applyAlignment="1" applyProtection="1">
      <alignment horizontal="center" vertical="center"/>
      <protection hidden="1"/>
    </xf>
    <xf numFmtId="0" fontId="57" fillId="0" borderId="19" xfId="0" applyFont="1" applyFill="1" applyBorder="1" applyAlignment="1" applyProtection="1">
      <alignment horizontal="center" vertical="center"/>
      <protection hidden="1"/>
    </xf>
    <xf numFmtId="0" fontId="51" fillId="0" borderId="14" xfId="0" applyFont="1" applyFill="1" applyBorder="1" applyAlignment="1" applyProtection="1">
      <alignment horizontal="center" vertical="center" wrapText="1"/>
      <protection hidden="1"/>
    </xf>
    <xf numFmtId="0" fontId="51" fillId="0" borderId="45" xfId="0" applyFont="1" applyFill="1" applyBorder="1" applyAlignment="1" applyProtection="1">
      <alignment horizontal="center" vertical="center" wrapText="1"/>
      <protection hidden="1"/>
    </xf>
    <xf numFmtId="0" fontId="51" fillId="0" borderId="45" xfId="0" applyFont="1" applyBorder="1" applyAlignment="1" applyProtection="1">
      <alignment horizontal="center" vertical="center" wrapText="1"/>
      <protection hidden="1"/>
    </xf>
    <xf numFmtId="0" fontId="51" fillId="0" borderId="27" xfId="0" applyFont="1" applyBorder="1" applyAlignment="1" applyProtection="1">
      <alignment horizontal="center" vertical="center" wrapText="1"/>
      <protection hidden="1"/>
    </xf>
    <xf numFmtId="0" fontId="51" fillId="0" borderId="51" xfId="0" applyFont="1" applyFill="1" applyBorder="1" applyAlignment="1" applyProtection="1">
      <alignment horizontal="center" vertical="top" wrapText="1"/>
      <protection hidden="1"/>
    </xf>
    <xf numFmtId="0" fontId="51" fillId="0" borderId="66" xfId="0" applyFont="1" applyFill="1" applyBorder="1" applyAlignment="1" applyProtection="1">
      <alignment horizontal="center" vertical="top" wrapText="1"/>
      <protection hidden="1"/>
    </xf>
    <xf numFmtId="0" fontId="25" fillId="0" borderId="15" xfId="7" applyFont="1" applyFill="1" applyBorder="1" applyAlignment="1" applyProtection="1">
      <alignment horizontal="center"/>
      <protection hidden="1"/>
    </xf>
    <xf numFmtId="0" fontId="25" fillId="0" borderId="0" xfId="7" applyFont="1" applyFill="1" applyAlignment="1" applyProtection="1">
      <alignment horizontal="center"/>
      <protection hidden="1"/>
    </xf>
    <xf numFmtId="0" fontId="51" fillId="0" borderId="53" xfId="0" applyFont="1" applyFill="1" applyBorder="1" applyAlignment="1" applyProtection="1">
      <alignment horizontal="center" vertical="center" wrapText="1"/>
      <protection hidden="1"/>
    </xf>
    <xf numFmtId="0" fontId="51" fillId="0" borderId="42" xfId="0" applyFont="1" applyFill="1" applyBorder="1" applyAlignment="1" applyProtection="1">
      <alignment horizontal="center" vertical="center" wrapText="1"/>
      <protection hidden="1"/>
    </xf>
    <xf numFmtId="0" fontId="51" fillId="0" borderId="4" xfId="0" applyFont="1" applyBorder="1" applyAlignment="1" applyProtection="1">
      <alignment horizontal="center" vertical="center" wrapText="1"/>
      <protection hidden="1"/>
    </xf>
    <xf numFmtId="0" fontId="51" fillId="0" borderId="42" xfId="0" applyFont="1" applyBorder="1" applyAlignment="1" applyProtection="1">
      <alignment horizontal="center" vertical="center" wrapText="1"/>
      <protection hidden="1"/>
    </xf>
    <xf numFmtId="0" fontId="27" fillId="0" borderId="32" xfId="0"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wrapText="1"/>
      <protection hidden="1"/>
    </xf>
    <xf numFmtId="0" fontId="44" fillId="0" borderId="0" xfId="7" applyFont="1" applyBorder="1" applyAlignment="1" applyProtection="1">
      <alignment horizontal="center" wrapText="1"/>
      <protection hidden="1"/>
    </xf>
    <xf numFmtId="0" fontId="43" fillId="0" borderId="0" xfId="7" applyFont="1" applyBorder="1" applyAlignment="1" applyProtection="1">
      <alignment horizontal="center" wrapText="1"/>
      <protection hidden="1"/>
    </xf>
    <xf numFmtId="0" fontId="29" fillId="3" borderId="11" xfId="0" applyFont="1" applyFill="1" applyBorder="1" applyAlignment="1" applyProtection="1">
      <alignment horizontal="center"/>
      <protection hidden="1"/>
    </xf>
    <xf numFmtId="0" fontId="29" fillId="3" borderId="12" xfId="0" applyFont="1" applyFill="1" applyBorder="1" applyAlignment="1" applyProtection="1">
      <alignment horizontal="center"/>
      <protection hidden="1"/>
    </xf>
    <xf numFmtId="0" fontId="29" fillId="3" borderId="13" xfId="0" applyFont="1" applyFill="1" applyBorder="1" applyAlignment="1" applyProtection="1">
      <alignment horizontal="center"/>
      <protection hidden="1"/>
    </xf>
    <xf numFmtId="0" fontId="29" fillId="3" borderId="17" xfId="0" applyFont="1" applyFill="1" applyBorder="1" applyAlignment="1" applyProtection="1">
      <alignment horizontal="center"/>
      <protection hidden="1"/>
    </xf>
    <xf numFmtId="3" fontId="29" fillId="3" borderId="12" xfId="0" applyNumberFormat="1" applyFont="1" applyFill="1" applyBorder="1" applyAlignment="1" applyProtection="1">
      <alignment horizontal="center"/>
      <protection hidden="1"/>
    </xf>
    <xf numFmtId="3" fontId="29" fillId="3" borderId="18" xfId="0" applyNumberFormat="1" applyFont="1" applyFill="1" applyBorder="1" applyAlignment="1" applyProtection="1">
      <alignment horizontal="center"/>
      <protection hidden="1"/>
    </xf>
    <xf numFmtId="14" fontId="29" fillId="3" borderId="12" xfId="0" applyNumberFormat="1" applyFont="1" applyFill="1" applyBorder="1" applyAlignment="1" applyProtection="1">
      <alignment horizontal="center"/>
      <protection hidden="1"/>
    </xf>
    <xf numFmtId="14" fontId="29" fillId="3" borderId="18" xfId="0" applyNumberFormat="1" applyFont="1" applyFill="1" applyBorder="1" applyAlignment="1" applyProtection="1">
      <alignment horizontal="center"/>
      <protection hidden="1"/>
    </xf>
    <xf numFmtId="0" fontId="29" fillId="3" borderId="13" xfId="0" applyNumberFormat="1" applyFont="1" applyFill="1" applyBorder="1" applyAlignment="1" applyProtection="1">
      <alignment horizontal="center"/>
      <protection hidden="1"/>
    </xf>
    <xf numFmtId="0" fontId="29" fillId="3" borderId="19" xfId="0" applyNumberFormat="1" applyFont="1" applyFill="1" applyBorder="1" applyAlignment="1" applyProtection="1">
      <alignment horizontal="center"/>
      <protection hidden="1"/>
    </xf>
    <xf numFmtId="0" fontId="10" fillId="12" borderId="0" xfId="7" applyFont="1" applyFill="1" applyAlignment="1">
      <alignment horizontal="center"/>
    </xf>
    <xf numFmtId="0" fontId="10" fillId="6" borderId="0" xfId="7" applyFont="1" applyFill="1" applyAlignment="1">
      <alignment horizontal="center"/>
    </xf>
    <xf numFmtId="0" fontId="10" fillId="8" borderId="0" xfId="7" applyFont="1" applyFill="1" applyAlignment="1">
      <alignment horizontal="center"/>
    </xf>
    <xf numFmtId="0" fontId="10" fillId="9" borderId="0" xfId="7" applyFont="1" applyFill="1" applyAlignment="1">
      <alignment horizontal="center"/>
    </xf>
    <xf numFmtId="0" fontId="10" fillId="10" borderId="0" xfId="7" applyFont="1" applyFill="1" applyAlignment="1">
      <alignment horizontal="center"/>
    </xf>
    <xf numFmtId="0" fontId="10" fillId="11" borderId="0" xfId="7" applyFont="1" applyFill="1" applyAlignment="1">
      <alignment horizontal="center"/>
    </xf>
    <xf numFmtId="0" fontId="6" fillId="0" borderId="64" xfId="0" applyFont="1" applyBorder="1" applyAlignment="1">
      <alignment horizontal="center"/>
    </xf>
    <xf numFmtId="0" fontId="6" fillId="0" borderId="65" xfId="0" applyFont="1" applyBorder="1" applyAlignment="1">
      <alignment horizontal="center"/>
    </xf>
    <xf numFmtId="0" fontId="12" fillId="0" borderId="0" xfId="8" applyFont="1" applyAlignment="1">
      <alignment horizontal="center"/>
    </xf>
    <xf numFmtId="0" fontId="20" fillId="0" borderId="0" xfId="8" applyFont="1" applyAlignment="1">
      <alignment horizontal="center"/>
    </xf>
  </cellXfs>
  <cellStyles count="12">
    <cellStyle name="Lien hypertexte" xfId="1" builtinId="8"/>
    <cellStyle name="Lien hypertexte 2" xfId="2"/>
    <cellStyle name="Milliers" xfId="3" builtinId="3"/>
    <cellStyle name="Milliers 2" xfId="4"/>
    <cellStyle name="Milliers 2 2" xfId="5"/>
    <cellStyle name="Milliers 3" xfId="6"/>
    <cellStyle name="Normal" xfId="0" builtinId="0"/>
    <cellStyle name="Normal 2" xfId="7"/>
    <cellStyle name="Normal 2 2" xfId="8"/>
    <cellStyle name="Normal 3" xfId="9"/>
    <cellStyle name="Normal 4" xfId="11"/>
    <cellStyle name="Pourcentage" xfId="10" builtinId="5"/>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chartsheet" Target="chartsheets/sheet3.xml"/><Relationship Id="rId18" Type="http://schemas.openxmlformats.org/officeDocument/2006/relationships/worksheet" Target="worksheets/sheet14.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17.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worksheet" Target="worksheets/sheet13.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hartsheet" Target="chartsheets/sheet4.xml"/><Relationship Id="rId22" Type="http://schemas.openxmlformats.org/officeDocument/2006/relationships/worksheet" Target="worksheets/sheet18.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5.jpeg"/></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openxmlformats.org/officeDocument/2006/relationships/image" Target="../media/image5.jpeg"/><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5.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5.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0.10004306377478928"/>
          <c:y val="0.16308628437152162"/>
          <c:w val="0.88331839514875854"/>
          <c:h val="0.74909477676546987"/>
        </c:manualLayout>
      </c:layout>
      <c:lineChart>
        <c:grouping val="standard"/>
        <c:varyColors val="0"/>
        <c:ser>
          <c:idx val="0"/>
          <c:order val="0"/>
          <c:tx>
            <c:strRef>
              <c:f>'DG Rearing'!$C$5</c:f>
              <c:strCache>
                <c:ptCount val="1"/>
                <c:pt idx="0">
                  <c:v>A</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Rearing'!$C$6:$C$131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
          <c:order val="1"/>
          <c:tx>
            <c:strRef>
              <c:f>'DG Rearing'!$D$5</c:f>
              <c:strCache>
                <c:ptCount val="1"/>
                <c:pt idx="0">
                  <c:v>B</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Rearing'!$D$6:$D$131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2"/>
          <c:order val="2"/>
          <c:tx>
            <c:strRef>
              <c:f>'DG Rearing'!$E$5</c:f>
              <c:strCache>
                <c:ptCount val="1"/>
                <c:pt idx="0">
                  <c:v>C</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Rearing'!$E$6:$E$131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3"/>
          <c:order val="3"/>
          <c:tx>
            <c:strRef>
              <c:f>'DG Rearing'!$F$5</c:f>
              <c:strCache>
                <c:ptCount val="1"/>
                <c:pt idx="0">
                  <c:v>D</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Rearing'!$F$6:$F$131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4"/>
          <c:order val="4"/>
          <c:tx>
            <c:strRef>
              <c:f>'DG Rearing'!$G$5</c:f>
              <c:strCache>
                <c:ptCount val="1"/>
                <c:pt idx="0">
                  <c:v>E</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Rearing'!$G$6:$G$131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5"/>
          <c:order val="5"/>
          <c:tx>
            <c:strRef>
              <c:f>'DG Rearing'!$H$5</c:f>
              <c:strCache>
                <c:ptCount val="1"/>
                <c:pt idx="0">
                  <c:v>F</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Rearing'!$H$6:$H$131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6"/>
          <c:order val="6"/>
          <c:tx>
            <c:strRef>
              <c:f>'DG Rearing'!$I$5</c:f>
              <c:strCache>
                <c:ptCount val="1"/>
                <c:pt idx="0">
                  <c:v>G</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Rearing'!$I$6:$I$131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7"/>
          <c:order val="7"/>
          <c:tx>
            <c:strRef>
              <c:f>'DG Rearing'!$J$5</c:f>
              <c:strCache>
                <c:ptCount val="1"/>
                <c:pt idx="0">
                  <c:v>H</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Rearing'!$J$6:$J$131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8"/>
          <c:order val="8"/>
          <c:tx>
            <c:strRef>
              <c:f>'DG Rearing'!$K$5</c:f>
              <c:strCache>
                <c:ptCount val="1"/>
                <c:pt idx="0">
                  <c:v>I</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Rearing'!$K$6:$K$131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9"/>
          <c:order val="9"/>
          <c:tx>
            <c:strRef>
              <c:f>'DG Rearing'!$L$5</c:f>
              <c:strCache>
                <c:ptCount val="1"/>
                <c:pt idx="0">
                  <c:v>J</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Rearing'!$L$6:$L$131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0"/>
          <c:order val="10"/>
          <c:tx>
            <c:strRef>
              <c:f>'DG Rearing'!$M$5</c:f>
              <c:strCache>
                <c:ptCount val="1"/>
                <c:pt idx="0">
                  <c:v>K</c:v>
                </c:pt>
              </c:strCache>
            </c:strRef>
          </c:tx>
          <c:spPr>
            <a:ln>
              <a:solidFill>
                <a:schemeClr val="bg1">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Rearing'!$M$6:$M$131</c:f>
              <c:numCache>
                <c:formatCode>_-* #\ ##0\ _€_-;\-* #\ ##0\ _€_-;_-* "-"??\ _€_-;_-@_-</c:formatCode>
                <c:ptCount val="1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numCache>
            </c:numRef>
          </c:val>
          <c:smooth val="0"/>
        </c:ser>
        <c:ser>
          <c:idx val="11"/>
          <c:order val="11"/>
          <c:tx>
            <c:strRef>
              <c:f>'DG Rearing'!$N$5</c:f>
              <c:strCache>
                <c:ptCount val="1"/>
                <c:pt idx="0">
                  <c:v>Croissance</c:v>
                </c:pt>
              </c:strCache>
            </c:strRef>
          </c:tx>
          <c:spPr>
            <a:ln>
              <a:solidFill>
                <a:schemeClr val="accent6">
                  <a:lumMod val="75000"/>
                </a:schemeClr>
              </a:solidFill>
            </a:ln>
          </c:spPr>
          <c:marker>
            <c:symbol val="none"/>
          </c:marker>
          <c:cat>
            <c:numRef>
              <c:f>'DG Rearing'!$B$6:$B$131</c:f>
              <c:numCache>
                <c:formatCode>_(* #,##0.00_);_(* \(#,##0.00\);_(* "-"??_);_(@_)</c:formatCode>
                <c:ptCount val="126"/>
                <c:pt idx="0">
                  <c:v>0</c:v>
                </c:pt>
                <c:pt idx="1">
                  <c:v>0.14285714285714285</c:v>
                </c:pt>
                <c:pt idx="2">
                  <c:v>0.2857142857142857</c:v>
                </c:pt>
                <c:pt idx="3">
                  <c:v>0.42857142857142855</c:v>
                </c:pt>
                <c:pt idx="4">
                  <c:v>0.5714285714285714</c:v>
                </c:pt>
                <c:pt idx="5">
                  <c:v>0.71428571428571419</c:v>
                </c:pt>
                <c:pt idx="6">
                  <c:v>0.85714285714285698</c:v>
                </c:pt>
                <c:pt idx="7">
                  <c:v>0.99999999999999978</c:v>
                </c:pt>
                <c:pt idx="8">
                  <c:v>1.1428571428571426</c:v>
                </c:pt>
                <c:pt idx="9">
                  <c:v>1.2857142857142854</c:v>
                </c:pt>
                <c:pt idx="10">
                  <c:v>1.4285714285714282</c:v>
                </c:pt>
                <c:pt idx="11">
                  <c:v>1.571428571428571</c:v>
                </c:pt>
                <c:pt idx="12">
                  <c:v>1.7142857142857137</c:v>
                </c:pt>
                <c:pt idx="13">
                  <c:v>1.8571428571428565</c:v>
                </c:pt>
                <c:pt idx="14">
                  <c:v>1.9999999999999993</c:v>
                </c:pt>
                <c:pt idx="15">
                  <c:v>2.1428571428571423</c:v>
                </c:pt>
                <c:pt idx="16">
                  <c:v>2.2857142857142851</c:v>
                </c:pt>
                <c:pt idx="17">
                  <c:v>2.4285714285714279</c:v>
                </c:pt>
                <c:pt idx="18">
                  <c:v>2.5714285714285707</c:v>
                </c:pt>
                <c:pt idx="19">
                  <c:v>2.7142857142857135</c:v>
                </c:pt>
                <c:pt idx="20">
                  <c:v>2.8571428571428563</c:v>
                </c:pt>
                <c:pt idx="21">
                  <c:v>2.9999999999999991</c:v>
                </c:pt>
                <c:pt idx="22">
                  <c:v>3.1428571428571419</c:v>
                </c:pt>
                <c:pt idx="23">
                  <c:v>3.2857142857142847</c:v>
                </c:pt>
                <c:pt idx="24">
                  <c:v>3.4285714285714275</c:v>
                </c:pt>
                <c:pt idx="25">
                  <c:v>3.5714285714285703</c:v>
                </c:pt>
                <c:pt idx="26">
                  <c:v>3.7142857142857131</c:v>
                </c:pt>
                <c:pt idx="27">
                  <c:v>3.8571428571428559</c:v>
                </c:pt>
                <c:pt idx="28">
                  <c:v>3.9999999999999987</c:v>
                </c:pt>
                <c:pt idx="29">
                  <c:v>4.1428571428571415</c:v>
                </c:pt>
                <c:pt idx="30">
                  <c:v>4.2857142857142847</c:v>
                </c:pt>
                <c:pt idx="31">
                  <c:v>4.4285714285714279</c:v>
                </c:pt>
                <c:pt idx="32">
                  <c:v>4.5714285714285712</c:v>
                </c:pt>
                <c:pt idx="33">
                  <c:v>4.7142857142857144</c:v>
                </c:pt>
                <c:pt idx="34">
                  <c:v>4.8571428571428577</c:v>
                </c:pt>
                <c:pt idx="35">
                  <c:v>5.0000000000000009</c:v>
                </c:pt>
                <c:pt idx="36">
                  <c:v>5.1428571428571441</c:v>
                </c:pt>
                <c:pt idx="37">
                  <c:v>5.2857142857142874</c:v>
                </c:pt>
                <c:pt idx="38">
                  <c:v>5.4285714285714306</c:v>
                </c:pt>
                <c:pt idx="39">
                  <c:v>5.5714285714285738</c:v>
                </c:pt>
                <c:pt idx="40">
                  <c:v>5.7142857142857171</c:v>
                </c:pt>
                <c:pt idx="41">
                  <c:v>5.8571428571428603</c:v>
                </c:pt>
                <c:pt idx="42">
                  <c:v>6.0000000000000036</c:v>
                </c:pt>
                <c:pt idx="43">
                  <c:v>6.1428571428571468</c:v>
                </c:pt>
                <c:pt idx="44">
                  <c:v>6.28571428571429</c:v>
                </c:pt>
                <c:pt idx="45">
                  <c:v>6.4285714285714333</c:v>
                </c:pt>
                <c:pt idx="46">
                  <c:v>6.5714285714285765</c:v>
                </c:pt>
                <c:pt idx="47">
                  <c:v>6.7142857142857197</c:v>
                </c:pt>
                <c:pt idx="48">
                  <c:v>6.857142857142863</c:v>
                </c:pt>
                <c:pt idx="49">
                  <c:v>7.0000000000000062</c:v>
                </c:pt>
                <c:pt idx="50">
                  <c:v>7.1428571428571495</c:v>
                </c:pt>
                <c:pt idx="51">
                  <c:v>7.2857142857142927</c:v>
                </c:pt>
                <c:pt idx="52">
                  <c:v>7.4285714285714359</c:v>
                </c:pt>
                <c:pt idx="53">
                  <c:v>7.5714285714285792</c:v>
                </c:pt>
                <c:pt idx="54">
                  <c:v>7.7142857142857224</c:v>
                </c:pt>
                <c:pt idx="55">
                  <c:v>7.8571428571428656</c:v>
                </c:pt>
                <c:pt idx="56">
                  <c:v>8.0000000000000089</c:v>
                </c:pt>
                <c:pt idx="57">
                  <c:v>8.1428571428571512</c:v>
                </c:pt>
                <c:pt idx="58">
                  <c:v>8.2857142857142936</c:v>
                </c:pt>
                <c:pt idx="59">
                  <c:v>8.4285714285714359</c:v>
                </c:pt>
                <c:pt idx="60">
                  <c:v>8.5714285714285783</c:v>
                </c:pt>
                <c:pt idx="61">
                  <c:v>8.7142857142857206</c:v>
                </c:pt>
                <c:pt idx="62">
                  <c:v>8.857142857142863</c:v>
                </c:pt>
                <c:pt idx="63">
                  <c:v>9.0000000000000053</c:v>
                </c:pt>
                <c:pt idx="64">
                  <c:v>9.1428571428571477</c:v>
                </c:pt>
                <c:pt idx="65">
                  <c:v>9.28571428571429</c:v>
                </c:pt>
                <c:pt idx="66">
                  <c:v>9.4285714285714324</c:v>
                </c:pt>
                <c:pt idx="67">
                  <c:v>9.5714285714285747</c:v>
                </c:pt>
                <c:pt idx="68">
                  <c:v>9.7142857142857171</c:v>
                </c:pt>
                <c:pt idx="69">
                  <c:v>9.8571428571428594</c:v>
                </c:pt>
                <c:pt idx="70">
                  <c:v>10.000000000000002</c:v>
                </c:pt>
                <c:pt idx="71">
                  <c:v>10.142857142857144</c:v>
                </c:pt>
                <c:pt idx="72">
                  <c:v>10.285714285714286</c:v>
                </c:pt>
                <c:pt idx="73">
                  <c:v>10.428571428571429</c:v>
                </c:pt>
                <c:pt idx="74">
                  <c:v>10.571428571428571</c:v>
                </c:pt>
                <c:pt idx="75">
                  <c:v>10.714285714285714</c:v>
                </c:pt>
                <c:pt idx="76">
                  <c:v>10.857142857142856</c:v>
                </c:pt>
                <c:pt idx="77">
                  <c:v>10.999999999999998</c:v>
                </c:pt>
                <c:pt idx="78">
                  <c:v>11.142857142857141</c:v>
                </c:pt>
                <c:pt idx="79">
                  <c:v>11.285714285714283</c:v>
                </c:pt>
                <c:pt idx="80">
                  <c:v>11.428571428571425</c:v>
                </c:pt>
                <c:pt idx="81">
                  <c:v>11.571428571428568</c:v>
                </c:pt>
                <c:pt idx="82">
                  <c:v>11.71428571428571</c:v>
                </c:pt>
                <c:pt idx="83">
                  <c:v>11.857142857142852</c:v>
                </c:pt>
                <c:pt idx="84">
                  <c:v>11.999999999999995</c:v>
                </c:pt>
                <c:pt idx="85">
                  <c:v>12.142857142857137</c:v>
                </c:pt>
                <c:pt idx="86">
                  <c:v>12.285714285714279</c:v>
                </c:pt>
                <c:pt idx="87">
                  <c:v>12.428571428571422</c:v>
                </c:pt>
                <c:pt idx="88">
                  <c:v>12.571428571428564</c:v>
                </c:pt>
                <c:pt idx="89">
                  <c:v>12.714285714285706</c:v>
                </c:pt>
                <c:pt idx="90">
                  <c:v>12.857142857142849</c:v>
                </c:pt>
                <c:pt idx="91">
                  <c:v>12.999999999999991</c:v>
                </c:pt>
                <c:pt idx="92">
                  <c:v>13.142857142857133</c:v>
                </c:pt>
                <c:pt idx="93">
                  <c:v>13.285714285714276</c:v>
                </c:pt>
                <c:pt idx="94">
                  <c:v>13.428571428571418</c:v>
                </c:pt>
                <c:pt idx="95">
                  <c:v>13.571428571428561</c:v>
                </c:pt>
                <c:pt idx="96">
                  <c:v>13.714285714285703</c:v>
                </c:pt>
                <c:pt idx="97">
                  <c:v>13.857142857142845</c:v>
                </c:pt>
                <c:pt idx="98">
                  <c:v>13.999999999999988</c:v>
                </c:pt>
                <c:pt idx="99">
                  <c:v>14.14285714285713</c:v>
                </c:pt>
                <c:pt idx="100">
                  <c:v>14.285714285714272</c:v>
                </c:pt>
                <c:pt idx="101">
                  <c:v>14.428571428571415</c:v>
                </c:pt>
                <c:pt idx="102">
                  <c:v>14.571428571428557</c:v>
                </c:pt>
                <c:pt idx="103">
                  <c:v>14.714285714285699</c:v>
                </c:pt>
                <c:pt idx="104">
                  <c:v>14.857142857142842</c:v>
                </c:pt>
                <c:pt idx="105">
                  <c:v>14.999999999999984</c:v>
                </c:pt>
                <c:pt idx="106">
                  <c:v>15.142857142857126</c:v>
                </c:pt>
                <c:pt idx="107">
                  <c:v>15.285714285714269</c:v>
                </c:pt>
                <c:pt idx="108">
                  <c:v>15.428571428571411</c:v>
                </c:pt>
                <c:pt idx="109">
                  <c:v>15.571428571428553</c:v>
                </c:pt>
                <c:pt idx="110">
                  <c:v>15.714285714285696</c:v>
                </c:pt>
                <c:pt idx="111">
                  <c:v>15.857142857142838</c:v>
                </c:pt>
                <c:pt idx="112">
                  <c:v>15.99999999999998</c:v>
                </c:pt>
                <c:pt idx="113">
                  <c:v>16.142857142857125</c:v>
                </c:pt>
                <c:pt idx="114">
                  <c:v>16.285714285714267</c:v>
                </c:pt>
                <c:pt idx="115">
                  <c:v>16.428571428571409</c:v>
                </c:pt>
                <c:pt idx="116">
                  <c:v>16.571428571428552</c:v>
                </c:pt>
                <c:pt idx="117">
                  <c:v>16.714285714285694</c:v>
                </c:pt>
                <c:pt idx="118">
                  <c:v>16.857142857142836</c:v>
                </c:pt>
                <c:pt idx="119">
                  <c:v>16.999999999999979</c:v>
                </c:pt>
                <c:pt idx="120">
                  <c:v>17.142857142857121</c:v>
                </c:pt>
                <c:pt idx="121">
                  <c:v>17.285714285714263</c:v>
                </c:pt>
                <c:pt idx="122">
                  <c:v>17.428571428571406</c:v>
                </c:pt>
                <c:pt idx="123">
                  <c:v>17.571428571428548</c:v>
                </c:pt>
                <c:pt idx="124">
                  <c:v>17.71428571428569</c:v>
                </c:pt>
                <c:pt idx="125">
                  <c:v>17.857142857142833</c:v>
                </c:pt>
              </c:numCache>
            </c:numRef>
          </c:cat>
          <c:val>
            <c:numRef>
              <c:f>'DG Rearing'!$N$6:$N$131</c:f>
              <c:numCache>
                <c:formatCode>General</c:formatCode>
                <c:ptCount val="1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numCache>
            </c:numRef>
          </c:val>
          <c:smooth val="1"/>
        </c:ser>
        <c:dLbls>
          <c:showLegendKey val="0"/>
          <c:showVal val="0"/>
          <c:showCatName val="0"/>
          <c:showSerName val="0"/>
          <c:showPercent val="0"/>
          <c:showBubbleSize val="0"/>
        </c:dLbls>
        <c:smooth val="0"/>
        <c:axId val="121776144"/>
        <c:axId val="122553528"/>
      </c:lineChart>
      <c:catAx>
        <c:axId val="121776144"/>
        <c:scaling>
          <c:orientation val="minMax"/>
        </c:scaling>
        <c:delete val="0"/>
        <c:axPos val="b"/>
        <c:majorGridlines/>
        <c:title>
          <c:tx>
            <c:strRef>
              <c:f>'Titre graphique'!$B$3</c:f>
              <c:strCache>
                <c:ptCount val="1"/>
                <c:pt idx="0">
                  <c:v>Age (semaine)</c:v>
                </c:pt>
              </c:strCache>
            </c:strRef>
          </c:tx>
          <c:overlay val="0"/>
          <c:txPr>
            <a:bodyPr/>
            <a:lstStyle/>
            <a:p>
              <a:pPr>
                <a:defRPr sz="1400">
                  <a:latin typeface="Arial" panose="020B0604020202020204" pitchFamily="34" charset="0"/>
                  <a:cs typeface="Arial" panose="020B0604020202020204" pitchFamily="34" charset="0"/>
                </a:defRPr>
              </a:pPr>
              <a:endParaRPr lang="fr-FR"/>
            </a:p>
          </c:txPr>
        </c:title>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22553528"/>
        <c:crosses val="autoZero"/>
        <c:auto val="1"/>
        <c:lblAlgn val="ctr"/>
        <c:lblOffset val="100"/>
        <c:tickLblSkip val="7"/>
        <c:tickMarkSkip val="7"/>
        <c:noMultiLvlLbl val="0"/>
      </c:catAx>
      <c:valAx>
        <c:axId val="122553528"/>
        <c:scaling>
          <c:orientation val="minMax"/>
          <c:max val="1400"/>
          <c:min val="0"/>
        </c:scaling>
        <c:delete val="0"/>
        <c:axPos val="l"/>
        <c:majorGridlines/>
        <c:title>
          <c:tx>
            <c:strRef>
              <c:f>'Titre graphique'!$B$4</c:f>
              <c:strCache>
                <c:ptCount val="1"/>
                <c:pt idx="0">
                  <c:v>Poids corporel (g)</c:v>
                </c:pt>
              </c:strCache>
            </c:strRef>
          </c:tx>
          <c:overlay val="0"/>
          <c:txPr>
            <a:bodyPr/>
            <a:lstStyle/>
            <a:p>
              <a:pPr>
                <a:defRPr sz="1400">
                  <a:latin typeface="Arial" panose="020B0604020202020204" pitchFamily="34" charset="0"/>
                  <a:cs typeface="Arial" panose="020B0604020202020204" pitchFamily="34" charset="0"/>
                </a:defRPr>
              </a:pPr>
              <a:endParaRPr lang="fr-FR"/>
            </a:p>
          </c:txPr>
        </c:title>
        <c:numFmt formatCode="_-* #\ ##0\ _€_-;\-* #\ ##0\ _€_-;_-* &quot;-&quot;??\ _€_-;_-@_-" sourceLinked="1"/>
        <c:majorTickMark val="cross"/>
        <c:minorTickMark val="in"/>
        <c:tickLblPos val="nextTo"/>
        <c:txPr>
          <a:bodyPr rot="0" vert="horz"/>
          <a:lstStyle/>
          <a:p>
            <a:pPr>
              <a:defRPr sz="1000" b="0" i="0" u="none" strike="noStrike" baseline="0">
                <a:solidFill>
                  <a:srgbClr val="000000"/>
                </a:solidFill>
                <a:latin typeface="Arial"/>
                <a:ea typeface="Arial"/>
                <a:cs typeface="Arial"/>
              </a:defRPr>
            </a:pPr>
            <a:endParaRPr lang="fr-FR"/>
          </a:p>
        </c:txPr>
        <c:crossAx val="121776144"/>
        <c:crossesAt val="1"/>
        <c:crossBetween val="midCat"/>
        <c:majorUnit val="100"/>
        <c:minorUnit val="20"/>
      </c:valAx>
      <c:spPr>
        <a:ln>
          <a:solidFill>
            <a:schemeClr val="tx1"/>
          </a:solidFill>
        </a:ln>
      </c:spPr>
    </c:plotArea>
    <c:plotVisOnly val="1"/>
    <c:dispBlanksAs val="gap"/>
    <c:showDLblsOverMax val="0"/>
  </c:chart>
  <c:spPr>
    <a:blipFill>
      <a:blip xmlns:r="http://schemas.openxmlformats.org/officeDocument/2006/relationships" r:embed="rId1"/>
      <a:stretch>
        <a:fillRect/>
      </a:stretch>
    </a:blipFill>
  </c:spPr>
  <c:txPr>
    <a:bodyPr/>
    <a:lstStyle/>
    <a:p>
      <a:pPr>
        <a:defRPr sz="1000" b="0" i="0" u="none" strike="noStrike" baseline="0">
          <a:solidFill>
            <a:srgbClr val="000000"/>
          </a:solidFill>
          <a:latin typeface="Calibri"/>
          <a:ea typeface="Calibri"/>
          <a:cs typeface="Calibri"/>
        </a:defRPr>
      </a:pPr>
      <a:endParaRPr lang="fr-FR"/>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rotection>
    <c:chartObject val="0"/>
    <c:data val="0"/>
    <c:formatting val="0"/>
    <c:selection val="0"/>
    <c:userInterface val="0"/>
  </c:protection>
  <c:chart>
    <c:autoTitleDeleted val="1"/>
    <c:plotArea>
      <c:layout>
        <c:manualLayout>
          <c:layoutTarget val="inner"/>
          <c:xMode val="edge"/>
          <c:yMode val="edge"/>
          <c:x val="8.948969157524099E-2"/>
          <c:y val="0.16727476604691427"/>
          <c:w val="0.8212003275734322"/>
          <c:h val="0.73860807189677202"/>
        </c:manualLayout>
      </c:layout>
      <c:lineChart>
        <c:grouping val="standard"/>
        <c:varyColors val="0"/>
        <c:ser>
          <c:idx val="0"/>
          <c:order val="0"/>
          <c:tx>
            <c:strRef>
              <c:f>'DG Prod'!$C$5</c:f>
              <c:strCache>
                <c:ptCount val="1"/>
                <c:pt idx="0">
                  <c:v>Standard</c:v>
                </c:pt>
              </c:strCache>
            </c:strRef>
          </c:tx>
          <c:spPr>
            <a:ln>
              <a:solidFill>
                <a:schemeClr val="tx1"/>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Prod'!$C$6:$C$78</c:f>
              <c:numCache>
                <c:formatCode>_-* #\ ##0\ _€_-;\-* #\ ##0\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
          <c:order val="1"/>
          <c:tx>
            <c:strRef>
              <c:f>'DG Prod'!$E$5</c:f>
              <c:strCache>
                <c:ptCount val="1"/>
                <c:pt idx="0">
                  <c:v>Standard</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Prod'!$E$6:$E$78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
          <c:order val="2"/>
          <c:tx>
            <c:strRef>
              <c:f>'DG Prod'!$F$5</c:f>
              <c:strCache>
                <c:ptCount val="1"/>
                <c:pt idx="0">
                  <c:v>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Prod'!$F$6:$F$78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
          <c:order val="3"/>
          <c:tx>
            <c:strRef>
              <c:f>'DG Prod'!$G$5</c:f>
              <c:strCache>
                <c:ptCount val="1"/>
                <c:pt idx="0">
                  <c:v>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Prod'!$G$6:$G$78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4"/>
          <c:order val="4"/>
          <c:tx>
            <c:strRef>
              <c:f>'DG Prod'!$H$5</c:f>
              <c:strCache>
                <c:ptCount val="1"/>
                <c:pt idx="0">
                  <c:v>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Prod'!$H$6:$H$78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5"/>
          <c:order val="5"/>
          <c:tx>
            <c:strRef>
              <c:f>'DG Prod'!$I$5</c:f>
              <c:strCache>
                <c:ptCount val="1"/>
                <c:pt idx="0">
                  <c:v>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Prod'!$I$6:$I$78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6"/>
          <c:order val="6"/>
          <c:tx>
            <c:strRef>
              <c:f>'DG Prod'!$J$5</c:f>
              <c:strCache>
                <c:ptCount val="1"/>
                <c:pt idx="0">
                  <c:v>5</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Prod'!$J$6:$J$78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7"/>
          <c:order val="7"/>
          <c:tx>
            <c:strRef>
              <c:f>'DG Prod'!$K$5</c:f>
              <c:strCache>
                <c:ptCount val="1"/>
                <c:pt idx="0">
                  <c:v>6</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Prod'!$K$6:$K$78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8"/>
          <c:order val="8"/>
          <c:tx>
            <c:strRef>
              <c:f>'DG Prod'!$L$5</c:f>
              <c:strCache>
                <c:ptCount val="1"/>
                <c:pt idx="0">
                  <c:v>7</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Prod'!$L$6:$L$78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9"/>
          <c:order val="9"/>
          <c:tx>
            <c:strRef>
              <c:f>'DG Prod'!$M$5</c:f>
              <c:strCache>
                <c:ptCount val="1"/>
                <c:pt idx="0">
                  <c:v>8</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Prod'!$M$6:$M$78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0"/>
          <c:order val="10"/>
          <c:tx>
            <c:strRef>
              <c:f>'DG Prod'!$N$5</c:f>
              <c:strCache>
                <c:ptCount val="1"/>
                <c:pt idx="0">
                  <c:v>9</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Prod'!$N$6:$N$78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1"/>
          <c:order val="11"/>
          <c:tx>
            <c:strRef>
              <c:f>'DG Prod'!$O$5</c:f>
              <c:strCache>
                <c:ptCount val="1"/>
                <c:pt idx="0">
                  <c:v>10</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Prod'!$O$6:$O$78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2"/>
          <c:order val="12"/>
          <c:tx>
            <c:strRef>
              <c:f>'DG Prod'!$P$5</c:f>
              <c:strCache>
                <c:ptCount val="1"/>
                <c:pt idx="0">
                  <c:v>11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Prod'!$P$6:$P$78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3"/>
          <c:order val="13"/>
          <c:tx>
            <c:strRef>
              <c:f>'DG Prod'!$Q$5</c:f>
              <c:strCache>
                <c:ptCount val="1"/>
                <c:pt idx="0">
                  <c:v>12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Prod'!$Q$6:$Q$78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4"/>
          <c:order val="14"/>
          <c:tx>
            <c:strRef>
              <c:f>'DG Prod'!$R$5</c:f>
              <c:strCache>
                <c:ptCount val="1"/>
                <c:pt idx="0">
                  <c:v>13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Prod'!$R$6:$R$78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5"/>
          <c:order val="15"/>
          <c:tx>
            <c:strRef>
              <c:f>'DG Prod'!$S$5</c:f>
              <c:strCache>
                <c:ptCount val="1"/>
                <c:pt idx="0">
                  <c:v>14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Prod'!$S$6:$S$78</c:f>
              <c:numCache>
                <c:formatCode>_-* #\ ##0.0\ _€_-;\-* #\ ##0.0\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1"/>
          <c:order val="31"/>
          <c:tx>
            <c:strRef>
              <c:f>'DG Prod'!$T$5</c:f>
              <c:strCache>
                <c:ptCount val="1"/>
                <c:pt idx="0">
                  <c:v>Flock</c:v>
                </c:pt>
              </c:strCache>
            </c:strRef>
          </c:tx>
          <c:spPr>
            <a:ln>
              <a:solidFill>
                <a:srgbClr val="FF000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Prod'!$T$6:$T$78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ser>
          <c:idx val="33"/>
          <c:order val="33"/>
          <c:tx>
            <c:strRef>
              <c:f>'DG Prod'!$D$5</c:f>
              <c:strCache>
                <c:ptCount val="1"/>
                <c:pt idx="0">
                  <c:v>Flock</c:v>
                </c:pt>
              </c:strCache>
            </c:strRef>
          </c:tx>
          <c:spPr>
            <a:ln>
              <a:solidFill>
                <a:srgbClr val="92D05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Prod'!$D$6:$D$78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ser>
          <c:idx val="34"/>
          <c:order val="34"/>
          <c:tx>
            <c:strRef>
              <c:f>'DG Prod'!$AK$5</c:f>
              <c:strCache>
                <c:ptCount val="1"/>
                <c:pt idx="0">
                  <c:v>Standard</c:v>
                </c:pt>
              </c:strCache>
            </c:strRef>
          </c:tx>
          <c:spPr>
            <a:ln>
              <a:solidFill>
                <a:schemeClr val="tx1"/>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Prod'!$AK$6:$AK$78</c:f>
              <c:numCache>
                <c:formatCode>_-* #\ ##0\ _€_-;\-* #\ ##0\ _€_-;_-* "-"??\ _€_-;_-@_-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5"/>
          <c:order val="35"/>
          <c:tx>
            <c:strRef>
              <c:f>'DG Prod'!$AL$5</c:f>
              <c:strCache>
                <c:ptCount val="1"/>
                <c:pt idx="0">
                  <c:v>Flock</c:v>
                </c:pt>
              </c:strCache>
            </c:strRef>
          </c:tx>
          <c:spPr>
            <a:ln>
              <a:solidFill>
                <a:srgbClr val="00206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Prod'!$AL$6:$AL$78</c:f>
              <c:numCache>
                <c:formatCode>_-* #\ ##0\ _€_-;\-* #\ ##0\ _€_-;_-* "-"??\ _€_-;_-@_-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dLbls>
          <c:showLegendKey val="0"/>
          <c:showVal val="0"/>
          <c:showCatName val="0"/>
          <c:showSerName val="0"/>
          <c:showPercent val="0"/>
          <c:showBubbleSize val="0"/>
        </c:dLbls>
        <c:marker val="1"/>
        <c:smooth val="0"/>
        <c:axId val="242830776"/>
        <c:axId val="122830952"/>
      </c:lineChart>
      <c:lineChart>
        <c:grouping val="standard"/>
        <c:varyColors val="0"/>
        <c:ser>
          <c:idx val="16"/>
          <c:order val="16"/>
          <c:tx>
            <c:strRef>
              <c:f>'DG Prod'!$U$5</c:f>
              <c:strCache>
                <c:ptCount val="1"/>
                <c:pt idx="0">
                  <c:v>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Prod'!$U$6:$U$78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7"/>
          <c:order val="17"/>
          <c:tx>
            <c:strRef>
              <c:f>'DG Prod'!$V$5</c:f>
              <c:strCache>
                <c:ptCount val="1"/>
                <c:pt idx="0">
                  <c:v>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Prod'!$V$6:$V$78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8"/>
          <c:order val="18"/>
          <c:tx>
            <c:strRef>
              <c:f>'DG Prod'!$W$5</c:f>
              <c:strCache>
                <c:ptCount val="1"/>
                <c:pt idx="0">
                  <c:v>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Prod'!$W$6:$W$78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19"/>
          <c:order val="19"/>
          <c:tx>
            <c:strRef>
              <c:f>'DG Prod'!$X$5</c:f>
              <c:strCache>
                <c:ptCount val="1"/>
                <c:pt idx="0">
                  <c:v>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Prod'!$X$6:$X$78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0"/>
          <c:order val="20"/>
          <c:tx>
            <c:strRef>
              <c:f>'DG Prod'!$Y$5</c:f>
              <c:strCache>
                <c:ptCount val="1"/>
                <c:pt idx="0">
                  <c:v>5</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Prod'!$Y$6:$Y$78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1"/>
          <c:order val="21"/>
          <c:tx>
            <c:strRef>
              <c:f>'DG Prod'!$Z$5</c:f>
              <c:strCache>
                <c:ptCount val="1"/>
                <c:pt idx="0">
                  <c:v>6</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Prod'!$Z$6:$Z$78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2"/>
          <c:order val="22"/>
          <c:tx>
            <c:strRef>
              <c:f>'DG Prod'!$AA$5</c:f>
              <c:strCache>
                <c:ptCount val="1"/>
                <c:pt idx="0">
                  <c:v>7</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Prod'!$AA$6:$AA$78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3"/>
          <c:order val="23"/>
          <c:tx>
            <c:strRef>
              <c:f>'DG Prod'!$AB$5</c:f>
              <c:strCache>
                <c:ptCount val="1"/>
                <c:pt idx="0">
                  <c:v>Standard</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Prod'!$AB$6:$AB$78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4"/>
          <c:order val="24"/>
          <c:tx>
            <c:strRef>
              <c:f>'DG Prod'!$AC$5</c:f>
              <c:strCache>
                <c:ptCount val="1"/>
                <c:pt idx="0">
                  <c:v>8</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Prod'!$AC$6:$AC$78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5"/>
          <c:order val="25"/>
          <c:tx>
            <c:strRef>
              <c:f>'DG Prod'!$AD$5</c:f>
              <c:strCache>
                <c:ptCount val="1"/>
                <c:pt idx="0">
                  <c:v>9</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Prod'!$AD$6:$AD$78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6"/>
          <c:order val="26"/>
          <c:tx>
            <c:strRef>
              <c:f>'DG Prod'!$AE$5</c:f>
              <c:strCache>
                <c:ptCount val="1"/>
                <c:pt idx="0">
                  <c:v>10</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Prod'!$AE$6:$AE$78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7"/>
          <c:order val="27"/>
          <c:tx>
            <c:strRef>
              <c:f>'DG Prod'!$AF$5</c:f>
              <c:strCache>
                <c:ptCount val="1"/>
                <c:pt idx="0">
                  <c:v>11</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Prod'!$AF$6:$AF$78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8"/>
          <c:order val="28"/>
          <c:tx>
            <c:strRef>
              <c:f>'DG Prod'!$AG$5</c:f>
              <c:strCache>
                <c:ptCount val="1"/>
                <c:pt idx="0">
                  <c:v>12</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Prod'!$AG$6:$AG$78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29"/>
          <c:order val="29"/>
          <c:tx>
            <c:strRef>
              <c:f>'DG Prod'!$AH$5</c:f>
              <c:strCache>
                <c:ptCount val="1"/>
                <c:pt idx="0">
                  <c:v>13</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Prod'!$AH$6:$AH$78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0"/>
          <c:order val="30"/>
          <c:tx>
            <c:strRef>
              <c:f>'DG Prod'!$AI$5</c:f>
              <c:strCache>
                <c:ptCount val="1"/>
                <c:pt idx="0">
                  <c:v>14</c:v>
                </c:pt>
              </c:strCache>
            </c:strRef>
          </c:tx>
          <c:spPr>
            <a:ln>
              <a:solidFill>
                <a:schemeClr val="bg1">
                  <a:lumMod val="75000"/>
                </a:schemeClr>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Prod'!$AI$6:$AI$78</c:f>
              <c:numCache>
                <c:formatCode>_(* #,##0.00_);_(* \(#,##0.00\);_(* "-"??_);_(@_)</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ser>
        <c:ser>
          <c:idx val="32"/>
          <c:order val="32"/>
          <c:tx>
            <c:strRef>
              <c:f>'DG Prod'!$AJ$5</c:f>
              <c:strCache>
                <c:ptCount val="1"/>
                <c:pt idx="0">
                  <c:v>Flock</c:v>
                </c:pt>
              </c:strCache>
            </c:strRef>
          </c:tx>
          <c:spPr>
            <a:ln>
              <a:solidFill>
                <a:srgbClr val="0070C0"/>
              </a:solidFill>
            </a:ln>
          </c:spPr>
          <c:marker>
            <c:symbol val="none"/>
          </c:marker>
          <c:cat>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'DG Prod'!$AJ$6:$AJ$78</c:f>
              <c:numCache>
                <c:formatCode>_(* #,##0.00_);_(* \(#,##0.00\);_(* "-"??_);_(@_)</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val>
          <c:smooth val="0"/>
        </c:ser>
        <c:dLbls>
          <c:showLegendKey val="0"/>
          <c:showVal val="0"/>
          <c:showCatName val="0"/>
          <c:showSerName val="0"/>
          <c:showPercent val="0"/>
          <c:showBubbleSize val="0"/>
        </c:dLbls>
        <c:marker val="1"/>
        <c:smooth val="0"/>
        <c:axId val="123195608"/>
        <c:axId val="242319288"/>
      </c:lineChart>
      <c:catAx>
        <c:axId val="242830776"/>
        <c:scaling>
          <c:orientation val="minMax"/>
        </c:scaling>
        <c:delete val="0"/>
        <c:axPos val="b"/>
        <c:majorGridlines>
          <c:spPr>
            <a:ln w="3175">
              <a:prstDash val="sysDash"/>
            </a:ln>
          </c:spPr>
        </c:majorGridlines>
        <c:title>
          <c:tx>
            <c:strRef>
              <c:f>'Titre graphique'!$B$6</c:f>
              <c:strCache>
                <c:ptCount val="1"/>
                <c:pt idx="0">
                  <c:v>Age (semaine)</c:v>
                </c:pt>
              </c:strCache>
            </c:strRef>
          </c:tx>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22830952"/>
        <c:crosses val="autoZero"/>
        <c:auto val="1"/>
        <c:lblAlgn val="ctr"/>
        <c:lblOffset val="100"/>
        <c:noMultiLvlLbl val="0"/>
      </c:catAx>
      <c:valAx>
        <c:axId val="122830952"/>
        <c:scaling>
          <c:orientation val="minMax"/>
          <c:max val="100"/>
          <c:min val="0"/>
        </c:scaling>
        <c:delete val="0"/>
        <c:axPos val="l"/>
        <c:majorGridlines>
          <c:spPr>
            <a:ln w="19050">
              <a:prstDash val="solid"/>
            </a:ln>
          </c:spPr>
        </c:majorGridlines>
        <c:minorGridlines>
          <c:spPr>
            <a:ln w="6350">
              <a:prstDash val="sysDash"/>
            </a:ln>
          </c:spPr>
        </c:minorGridlines>
        <c:title>
          <c:tx>
            <c:strRef>
              <c:f>'Titre graphique'!$B$7</c:f>
              <c:strCache>
                <c:ptCount val="1"/>
                <c:pt idx="0">
                  <c:v>Poids corporel (g) / Taux de ponte et viabilité (%)</c:v>
                </c:pt>
              </c:strCache>
            </c:strRef>
          </c:tx>
          <c:layout>
            <c:manualLayout>
              <c:xMode val="edge"/>
              <c:yMode val="edge"/>
              <c:x val="9.0529815873003558E-3"/>
              <c:y val="0.2144426763408501"/>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_-* #\ ##0\ _€_-;\-* #\ ##0\ _€_-;_-* &quot;-&quot;??\ _€_-;_-@_-"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242830776"/>
        <c:crosses val="autoZero"/>
        <c:crossBetween val="between"/>
        <c:majorUnit val="10"/>
        <c:minorUnit val="2"/>
      </c:valAx>
      <c:catAx>
        <c:axId val="123195608"/>
        <c:scaling>
          <c:orientation val="minMax"/>
        </c:scaling>
        <c:delete val="1"/>
        <c:axPos val="b"/>
        <c:numFmt formatCode="General" sourceLinked="1"/>
        <c:majorTickMark val="out"/>
        <c:minorTickMark val="none"/>
        <c:tickLblPos val="nextTo"/>
        <c:crossAx val="242319288"/>
        <c:crosses val="autoZero"/>
        <c:auto val="1"/>
        <c:lblAlgn val="ctr"/>
        <c:lblOffset val="100"/>
        <c:noMultiLvlLbl val="0"/>
      </c:catAx>
      <c:valAx>
        <c:axId val="242319288"/>
        <c:scaling>
          <c:orientation val="minMax"/>
          <c:max val="90"/>
          <c:min val="40"/>
        </c:scaling>
        <c:delete val="0"/>
        <c:axPos val="r"/>
        <c:title>
          <c:tx>
            <c:strRef>
              <c:f>'Titre graphique'!$B$8</c:f>
              <c:strCache>
                <c:ptCount val="1"/>
                <c:pt idx="0">
                  <c:v>Poids d'œuf (g)</c:v>
                </c:pt>
              </c:strCache>
            </c:strRef>
          </c:tx>
          <c:layout>
            <c:manualLayout>
              <c:xMode val="edge"/>
              <c:yMode val="edge"/>
              <c:x val="0.9670239440836762"/>
              <c:y val="0.428086572948015"/>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23195608"/>
        <c:crosses val="max"/>
        <c:crossBetween val="between"/>
        <c:majorUnit val="5"/>
      </c:valAx>
    </c:plotArea>
    <c:plotVisOnly val="1"/>
    <c:dispBlanksAs val="gap"/>
    <c:showDLblsOverMax val="0"/>
  </c:chart>
  <c:spPr>
    <a:blipFill>
      <a:blip xmlns:r="http://schemas.openxmlformats.org/officeDocument/2006/relationships" r:embed="rId2"/>
      <a:stretch>
        <a:fillRect/>
      </a:stretch>
    </a:blipFill>
  </c:spPr>
  <c:txPr>
    <a:bodyPr/>
    <a:lstStyle/>
    <a:p>
      <a:pPr>
        <a:defRPr sz="1000" b="0" i="0" u="none" strike="noStrike" baseline="0">
          <a:solidFill>
            <a:srgbClr val="000000"/>
          </a:solidFill>
          <a:latin typeface="Calibri"/>
          <a:ea typeface="Calibri"/>
          <a:cs typeface="Calibri"/>
        </a:defRPr>
      </a:pPr>
      <a:endParaRPr lang="fr-FR"/>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8.493066322846006E-2"/>
          <c:y val="0.17382116502452899"/>
          <c:w val="0.82967532135406141"/>
          <c:h val="0.66555585247301974"/>
        </c:manualLayout>
      </c:layout>
      <c:scatterChart>
        <c:scatterStyle val="lineMarker"/>
        <c:varyColors val="0"/>
        <c:ser>
          <c:idx val="0"/>
          <c:order val="0"/>
          <c:tx>
            <c:strRef>
              <c:f>'Titre graphique'!$B$12</c:f>
              <c:strCache>
                <c:ptCount val="1"/>
                <c:pt idx="0">
                  <c:v>Déclassés élevage (%)</c:v>
                </c:pt>
              </c:strCache>
            </c:strRef>
          </c:tx>
          <c:spPr>
            <a:ln>
              <a:solidFill>
                <a:schemeClr val="accent5">
                  <a:lumMod val="60000"/>
                  <a:lumOff val="40000"/>
                </a:schemeClr>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Prod'!$AO$6:$AO$80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ser>
          <c:idx val="1"/>
          <c:order val="1"/>
          <c:tx>
            <c:strRef>
              <c:f>'Titre graphique'!$B$13</c:f>
              <c:strCache>
                <c:ptCount val="1"/>
                <c:pt idx="0">
                  <c:v>Déclassés centre de conditionnement (%)</c:v>
                </c:pt>
              </c:strCache>
            </c:strRef>
          </c:tx>
          <c:spPr>
            <a:ln>
              <a:solidFill>
                <a:schemeClr val="tx2">
                  <a:lumMod val="60000"/>
                  <a:lumOff val="40000"/>
                </a:schemeClr>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Prod'!$AP$6:$AP$80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ser>
          <c:idx val="2"/>
          <c:order val="2"/>
          <c:tx>
            <c:strRef>
              <c:f>'Titre graphique'!$B$14</c:f>
              <c:strCache>
                <c:ptCount val="1"/>
                <c:pt idx="0">
                  <c:v>Total déclassés (%)</c:v>
                </c:pt>
              </c:strCache>
            </c:strRef>
          </c:tx>
          <c:spPr>
            <a:ln>
              <a:solidFill>
                <a:srgbClr val="002060"/>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Prod'!$AQ$6:$AQ$80</c:f>
              <c:numCache>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143816632"/>
        <c:axId val="123203224"/>
      </c:scatterChart>
      <c:valAx>
        <c:axId val="143816632"/>
        <c:scaling>
          <c:orientation val="minMax"/>
          <c:max val="90"/>
          <c:min val="18"/>
        </c:scaling>
        <c:delete val="0"/>
        <c:axPos val="b"/>
        <c:majorGridlines/>
        <c:title>
          <c:tx>
            <c:strRef>
              <c:f>'Titre graphique'!$B$10</c:f>
              <c:strCache>
                <c:ptCount val="1"/>
                <c:pt idx="0">
                  <c:v>Age (semaine)</c:v>
                </c:pt>
              </c:strCache>
            </c:strRef>
          </c:tx>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Calibri"/>
                <a:ea typeface="Calibri"/>
                <a:cs typeface="Calibri"/>
              </a:defRPr>
            </a:pPr>
            <a:endParaRPr lang="fr-FR"/>
          </a:p>
        </c:txPr>
        <c:crossAx val="123203224"/>
        <c:crosses val="autoZero"/>
        <c:crossBetween val="midCat"/>
        <c:majorUnit val="2"/>
        <c:minorUnit val="0.8"/>
      </c:valAx>
      <c:valAx>
        <c:axId val="123203224"/>
        <c:scaling>
          <c:orientation val="minMax"/>
          <c:max val="20"/>
          <c:min val="0"/>
        </c:scaling>
        <c:delete val="0"/>
        <c:axPos val="l"/>
        <c:majorGridlines>
          <c:spPr>
            <a:ln w="19050">
              <a:solidFill>
                <a:schemeClr val="bg1">
                  <a:lumMod val="50000"/>
                </a:schemeClr>
              </a:solidFill>
              <a:prstDash val="solid"/>
            </a:ln>
          </c:spPr>
        </c:majorGridlines>
        <c:minorGridlines>
          <c:spPr>
            <a:ln>
              <a:solidFill>
                <a:schemeClr val="bg1">
                  <a:lumMod val="50000"/>
                </a:schemeClr>
              </a:solidFill>
              <a:prstDash val="sysDash"/>
            </a:ln>
          </c:spPr>
        </c:minorGridlines>
        <c:title>
          <c:tx>
            <c:strRef>
              <c:f>'Titre graphique'!$B$11</c:f>
              <c:strCache>
                <c:ptCount val="1"/>
                <c:pt idx="0">
                  <c:v>Déclassés (%)</c:v>
                </c:pt>
              </c:strCache>
            </c:strRef>
          </c:tx>
          <c:layout>
            <c:manualLayout>
              <c:xMode val="edge"/>
              <c:yMode val="edge"/>
              <c:x val="1.667517275878479E-2"/>
              <c:y val="0.39734245784721933"/>
            </c:manualLayout>
          </c:layout>
          <c:overlay val="0"/>
          <c:txPr>
            <a:bodyPr/>
            <a:lstStyle/>
            <a:p>
              <a:pPr>
                <a:defRPr sz="1400">
                  <a:latin typeface="Arial" panose="020B0604020202020204" pitchFamily="34" charset="0"/>
                  <a:cs typeface="Arial" panose="020B0604020202020204" pitchFamily="34" charset="0"/>
                </a:defRPr>
              </a:pPr>
              <a:endParaRPr lang="fr-FR"/>
            </a:p>
          </c:tx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Calibri"/>
                <a:ea typeface="Calibri"/>
                <a:cs typeface="Calibri"/>
              </a:defRPr>
            </a:pPr>
            <a:endParaRPr lang="fr-FR"/>
          </a:p>
        </c:txPr>
        <c:crossAx val="143816632"/>
        <c:crosses val="autoZero"/>
        <c:crossBetween val="midCat"/>
        <c:majorUnit val="2"/>
        <c:minorUnit val="0.5"/>
      </c:valAx>
      <c:spPr>
        <a:solidFill>
          <a:schemeClr val="bg1"/>
        </a:solidFill>
        <a:ln w="12700">
          <a:solidFill>
            <a:srgbClr val="808080"/>
          </a:solidFill>
          <a:prstDash val="solid"/>
        </a:ln>
      </c:spPr>
    </c:plotArea>
    <c:legend>
      <c:legendPos val="b"/>
      <c:overlay val="0"/>
      <c:spPr>
        <a:solidFill>
          <a:schemeClr val="bg1"/>
        </a:solidFill>
        <a:ln>
          <a:solidFill>
            <a:schemeClr val="bg1">
              <a:lumMod val="50000"/>
              <a:alpha val="63000"/>
            </a:schemeClr>
          </a:solid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blipFill>
      <a:blip xmlns:r="http://schemas.openxmlformats.org/officeDocument/2006/relationships" r:embed="rId1"/>
      <a:stretch>
        <a:fillRect/>
      </a:stretch>
    </a:blipFill>
    <a:ln w="9525">
      <a:noFill/>
    </a:ln>
  </c:spPr>
  <c:txPr>
    <a:bodyPr/>
    <a:lstStyle/>
    <a:p>
      <a:pPr>
        <a:defRPr sz="1200" b="0" i="0" u="none" strike="noStrike" baseline="0">
          <a:solidFill>
            <a:srgbClr val="000000"/>
          </a:solidFill>
          <a:latin typeface="Calibri"/>
          <a:ea typeface="Calibri"/>
          <a:cs typeface="Calibri"/>
        </a:defRPr>
      </a:pPr>
      <a:endParaRPr lang="fr-FR"/>
    </a:p>
  </c:txPr>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1"/>
    <c:plotArea>
      <c:layout>
        <c:manualLayout>
          <c:layoutTarget val="inner"/>
          <c:xMode val="edge"/>
          <c:yMode val="edge"/>
          <c:x val="8.5239877723444379E-2"/>
          <c:y val="0.17168322546069173"/>
          <c:w val="0.83518149040404865"/>
          <c:h val="0.6615825534897144"/>
        </c:manualLayout>
      </c:layout>
      <c:scatterChart>
        <c:scatterStyle val="lineMarker"/>
        <c:varyColors val="0"/>
        <c:ser>
          <c:idx val="4"/>
          <c:order val="0"/>
          <c:tx>
            <c:strRef>
              <c:f>'Titre graphique'!$B$19</c:f>
              <c:strCache>
                <c:ptCount val="1"/>
                <c:pt idx="0">
                  <c:v>Standard masse d'œuf/jour</c:v>
                </c:pt>
              </c:strCache>
            </c:strRef>
          </c:tx>
          <c:spPr>
            <a:ln>
              <a:solidFill>
                <a:srgbClr val="002060"/>
              </a:solidFill>
            </a:ln>
          </c:spPr>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Prod'!$AR$6:$AR$78</c:f>
              <c:numCache>
                <c:formatCode>0.0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yVal>
          <c:smooth val="0"/>
        </c:ser>
        <c:ser>
          <c:idx val="0"/>
          <c:order val="2"/>
          <c:tx>
            <c:strRef>
              <c:f>'Titre graphique'!$B$20</c:f>
              <c:strCache>
                <c:ptCount val="1"/>
                <c:pt idx="0">
                  <c:v>Masse d'œuf/jour</c:v>
                </c:pt>
              </c:strCache>
            </c:strRef>
          </c:tx>
          <c:marker>
            <c:symbol val="none"/>
          </c:marker>
          <c:xVal>
            <c:numRef>
              <c:f>'DG Prod'!$B$6:$B$78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Prod'!$AS$6:$AS$78</c:f>
              <c:numCache>
                <c:formatCode>0.0</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241743576"/>
        <c:axId val="241743968"/>
      </c:scatterChart>
      <c:scatterChart>
        <c:scatterStyle val="lineMarker"/>
        <c:varyColors val="0"/>
        <c:ser>
          <c:idx val="5"/>
          <c:order val="1"/>
          <c:tx>
            <c:strRef>
              <c:f>'Titre graphique'!$B$21</c:f>
              <c:strCache>
                <c:ptCount val="1"/>
                <c:pt idx="0">
                  <c:v>Indice de conso</c:v>
                </c:pt>
              </c:strCache>
            </c:strRef>
          </c:tx>
          <c:spPr>
            <a:ln>
              <a:solidFill>
                <a:schemeClr val="tx2">
                  <a:lumMod val="40000"/>
                  <a:lumOff val="60000"/>
                </a:schemeClr>
              </a:solidFill>
            </a:ln>
          </c:spPr>
          <c:marker>
            <c:symbol val="none"/>
          </c:marker>
          <c:xVal>
            <c:numRef>
              <c:f>'Production Data-Table'!$A$16:$A$88</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xVal>
          <c:yVal>
            <c:numRef>
              <c:f>'DG Prod'!$AU$6:$AU$80</c:f>
              <c:numCache>
                <c:formatCode>General</c:formatCode>
                <c:ptCount val="75"/>
                <c:pt idx="0">
                  <c:v>0</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Cache>
            </c:numRef>
          </c:yVal>
          <c:smooth val="0"/>
        </c:ser>
        <c:dLbls>
          <c:showLegendKey val="0"/>
          <c:showVal val="0"/>
          <c:showCatName val="0"/>
          <c:showSerName val="0"/>
          <c:showPercent val="0"/>
          <c:showBubbleSize val="0"/>
        </c:dLbls>
        <c:axId val="241744360"/>
        <c:axId val="241744752"/>
      </c:scatterChart>
      <c:valAx>
        <c:axId val="241743576"/>
        <c:scaling>
          <c:orientation val="minMax"/>
          <c:max val="90"/>
          <c:min val="18"/>
        </c:scaling>
        <c:delete val="0"/>
        <c:axPos val="b"/>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241743968"/>
        <c:crosses val="autoZero"/>
        <c:crossBetween val="midCat"/>
        <c:majorUnit val="2"/>
        <c:minorUnit val="2"/>
      </c:valAx>
      <c:valAx>
        <c:axId val="241743968"/>
        <c:scaling>
          <c:orientation val="minMax"/>
          <c:max val="70"/>
          <c:min val="0"/>
        </c:scaling>
        <c:delete val="0"/>
        <c:axPos val="l"/>
        <c:majorGridlines>
          <c:spPr>
            <a:ln w="19050">
              <a:solidFill>
                <a:schemeClr val="bg1">
                  <a:lumMod val="50000"/>
                </a:schemeClr>
              </a:solidFill>
              <a:prstDash val="solid"/>
            </a:ln>
          </c:spPr>
        </c:majorGridlines>
        <c:minorGridlines>
          <c:spPr>
            <a:ln w="6350">
              <a:solidFill>
                <a:schemeClr val="bg1">
                  <a:lumMod val="50000"/>
                </a:schemeClr>
              </a:solidFill>
              <a:prstDash val="sysDash"/>
            </a:ln>
          </c:spPr>
        </c:minorGridlines>
        <c:title>
          <c:tx>
            <c:strRef>
              <c:f>'Titre graphique'!$B$17</c:f>
              <c:strCache>
                <c:ptCount val="1"/>
                <c:pt idx="0">
                  <c:v>Masse d'œuf/jour (g)</c:v>
                </c:pt>
              </c:strCache>
            </c:strRef>
          </c:tx>
          <c:layout>
            <c:manualLayout>
              <c:xMode val="edge"/>
              <c:yMode val="edge"/>
              <c:x val="1.5077815928597521E-2"/>
              <c:y val="0.36143249371315495"/>
            </c:manualLayout>
          </c:layout>
          <c:overlay val="0"/>
          <c:txPr>
            <a:bodyPr/>
            <a:lstStyle/>
            <a:p>
              <a:pPr>
                <a:defRPr sz="1400"/>
              </a:pPr>
              <a:endParaRPr lang="fr-FR"/>
            </a:p>
          </c:txPr>
        </c:title>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241743576"/>
        <c:crosses val="autoZero"/>
        <c:crossBetween val="midCat"/>
        <c:majorUnit val="10"/>
        <c:minorUnit val="2"/>
      </c:valAx>
      <c:valAx>
        <c:axId val="241744360"/>
        <c:scaling>
          <c:orientation val="minMax"/>
        </c:scaling>
        <c:delete val="1"/>
        <c:axPos val="t"/>
        <c:numFmt formatCode="General" sourceLinked="1"/>
        <c:majorTickMark val="out"/>
        <c:minorTickMark val="none"/>
        <c:tickLblPos val="nextTo"/>
        <c:crossAx val="241744752"/>
        <c:crosses val="max"/>
        <c:crossBetween val="midCat"/>
      </c:valAx>
      <c:valAx>
        <c:axId val="241744752"/>
        <c:scaling>
          <c:orientation val="minMax"/>
          <c:max val="5"/>
          <c:min val="0"/>
        </c:scaling>
        <c:delete val="0"/>
        <c:axPos val="r"/>
        <c:title>
          <c:tx>
            <c:strRef>
              <c:f>'Titre graphique'!$B$18</c:f>
              <c:strCache>
                <c:ptCount val="1"/>
                <c:pt idx="0">
                  <c:v>IC (kg/kg)</c:v>
                </c:pt>
              </c:strCache>
            </c:strRef>
          </c:tx>
          <c:overlay val="0"/>
          <c:txPr>
            <a:bodyPr/>
            <a:lstStyle/>
            <a:p>
              <a:pPr>
                <a:defRPr sz="1400"/>
              </a:pPr>
              <a:endParaRPr lang="fr-FR"/>
            </a:p>
          </c:txPr>
        </c:title>
        <c:numFmt formatCode="#,##0.0" sourceLinked="0"/>
        <c:majorTickMark val="out"/>
        <c:minorTickMark val="none"/>
        <c:tickLblPos val="nextTo"/>
        <c:spPr>
          <a:ln w="9525">
            <a:solidFill>
              <a:schemeClr val="tx1">
                <a:tint val="75000"/>
                <a:shade val="95000"/>
                <a:satMod val="105000"/>
              </a:schemeClr>
            </a:solidFill>
          </a:ln>
        </c:spPr>
        <c:txPr>
          <a:bodyPr rot="0" vert="horz"/>
          <a:lstStyle/>
          <a:p>
            <a:pPr>
              <a:defRPr/>
            </a:pPr>
            <a:endParaRPr lang="fr-FR"/>
          </a:p>
        </c:txPr>
        <c:crossAx val="241744360"/>
        <c:crosses val="max"/>
        <c:crossBetween val="midCat"/>
      </c:valAx>
      <c:spPr>
        <a:solidFill>
          <a:sysClr val="window" lastClr="FFFFFF"/>
        </a:solidFill>
        <a:ln w="12700">
          <a:solidFill>
            <a:srgbClr val="808080"/>
          </a:solidFill>
          <a:prstDash val="solid"/>
        </a:ln>
      </c:spPr>
    </c:plotArea>
    <c:legend>
      <c:legendPos val="b"/>
      <c:legendEntry>
        <c:idx val="0"/>
        <c:txPr>
          <a:bodyPr/>
          <a:lstStyle/>
          <a:p>
            <a:pPr>
              <a:defRPr sz="1100"/>
            </a:pPr>
            <a:endParaRPr lang="fr-FR"/>
          </a:p>
        </c:txPr>
      </c:legendEntry>
      <c:layout>
        <c:manualLayout>
          <c:xMode val="edge"/>
          <c:yMode val="edge"/>
          <c:x val="0.18840827044266048"/>
          <c:y val="0.92868730675681244"/>
          <c:w val="0.61771014707297234"/>
          <c:h val="3.7804839840046171E-2"/>
        </c:manualLayout>
      </c:layout>
      <c:overlay val="1"/>
      <c:spPr>
        <a:solidFill>
          <a:sysClr val="window" lastClr="FFFFFF"/>
        </a:solidFill>
        <a:ln>
          <a:solidFill>
            <a:schemeClr val="bg1">
              <a:lumMod val="50000"/>
            </a:schemeClr>
          </a:solidFill>
        </a:ln>
      </c:spPr>
      <c:txPr>
        <a:bodyPr/>
        <a:lstStyle/>
        <a:p>
          <a:pPr>
            <a:defRPr sz="1100"/>
          </a:pPr>
          <a:endParaRPr lang="fr-FR"/>
        </a:p>
      </c:txPr>
    </c:legend>
    <c:plotVisOnly val="1"/>
    <c:dispBlanksAs val="gap"/>
    <c:showDLblsOverMax val="0"/>
  </c:chart>
  <c:spPr>
    <a:blipFill>
      <a:blip xmlns:r="http://schemas.openxmlformats.org/officeDocument/2006/relationships" r:embed="rId1"/>
      <a:stretch>
        <a:fillRect/>
      </a:stretch>
    </a:blipFill>
    <a:ln w="9525">
      <a:noFill/>
    </a:ln>
  </c:spPr>
  <c:txPr>
    <a:bodyPr/>
    <a:lstStyle/>
    <a:p>
      <a:pPr>
        <a:defRPr sz="1200" b="0" i="0" u="none" strike="noStrike" baseline="0">
          <a:solidFill>
            <a:srgbClr val="000000"/>
          </a:solidFill>
          <a:latin typeface="Arial"/>
          <a:ea typeface="Arial"/>
          <a:cs typeface="Arial"/>
        </a:defRPr>
      </a:pPr>
      <a:endParaRPr lang="fr-FR"/>
    </a:p>
  </c:tx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codeName="Graphique9"/>
  <sheetViews>
    <sheetView zoomScale="90" workbookViewId="0"/>
  </sheetViews>
  <sheetProtection algorithmName="SHA-512" hashValue="gn2Xx9b5FhWjIi8uyo2+fXmxvE5AKm9rkUFWhJVTHzkIn4XwTDC8r0ePQ7ydpyYWY3dB2S3Yjp1x9xI3A8CrmQ==" saltValue="V90txZz7x+med7lxTfFguw==" spinCount="100000" content="1" objects="1"/>
  <pageMargins left="0.25" right="0.25" top="0.75" bottom="0.75" header="0.3" footer="0.3"/>
  <pageSetup paperSize="9" orientation="landscape" verticalDpi="300" r:id="rId1"/>
  <drawing r:id="rId2"/>
</chartsheet>
</file>

<file path=xl/chartsheets/sheet2.xml><?xml version="1.0" encoding="utf-8"?>
<chartsheet xmlns="http://schemas.openxmlformats.org/spreadsheetml/2006/main" xmlns:r="http://schemas.openxmlformats.org/officeDocument/2006/relationships">
  <sheetPr codeName="Graphique12"/>
  <sheetViews>
    <sheetView zoomScale="90" workbookViewId="0"/>
  </sheetViews>
  <sheetProtection algorithmName="SHA-512" hashValue="I3r0vM2Pliqd6LfZukNgecSd0DVpHI/ngjICpgN6XfF1+ye0joUmuIXDg4s/xFhLBeA8tq1MyMBFwRz5z7/2Gw==" saltValue="uDfF5Ju4j4LGC0xadmGGLQ==" spinCount="100000" content="1" objects="1"/>
  <pageMargins left="0.25" right="0.25" top="0.75" bottom="0.75" header="0.3" footer="0.3"/>
  <pageSetup paperSize="9" orientation="landscape" verticalDpi="300" r:id="rId1"/>
  <drawing r:id="rId2"/>
</chartsheet>
</file>

<file path=xl/chartsheets/sheet3.xml><?xml version="1.0" encoding="utf-8"?>
<chartsheet xmlns="http://schemas.openxmlformats.org/spreadsheetml/2006/main" xmlns:r="http://schemas.openxmlformats.org/officeDocument/2006/relationships">
  <sheetPr codeName="Graph8"/>
  <sheetViews>
    <sheetView zoomScale="90" workbookViewId="0"/>
  </sheetViews>
  <sheetProtection algorithmName="SHA-512" hashValue="kbMrzrGxc30E+TtkrdHbebhhZoqmXUgj7S2brIf9g0QMcO0RCnNnfZfH786NpZPfcm/MKDmP8dhcA024GXmiyA==" saltValue="+3rMvHzbZrVXQmT/U0zQ3w==" spinCount="100000" content="1" objects="1"/>
  <pageMargins left="0.25" right="0.25" top="0.75" bottom="0.75" header="0.3" footer="0.3"/>
  <pageSetup paperSize="9" orientation="landscape" verticalDpi="300" r:id="rId1"/>
  <drawing r:id="rId2"/>
</chartsheet>
</file>

<file path=xl/chartsheets/sheet4.xml><?xml version="1.0" encoding="utf-8"?>
<chartsheet xmlns="http://schemas.openxmlformats.org/spreadsheetml/2006/main" xmlns:r="http://schemas.openxmlformats.org/officeDocument/2006/relationships">
  <sheetPr codeName="Graph9"/>
  <sheetViews>
    <sheetView zoomScale="90" workbookViewId="0"/>
  </sheetViews>
  <sheetProtection algorithmName="SHA-512" hashValue="rxpTkFAQoRwXmIoueJIwdFnYvWSTiF8QytMpQXjmZOTTxK2prEUpzB9kO5s4fxSaO0TsGb5uYdeRgRMOjtxT6w==" saltValue="RJQe/WmGAOphASg1ErivaA==" spinCount="100000" content="1" objects="1"/>
  <pageMargins left="0.25" right="0.25" top="0.75" bottom="0.75" header="0.3" footer="0.3"/>
  <pageSetup paperSize="9" orientation="landscape" verticalDpi="300"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257176</xdr:colOff>
      <xdr:row>5</xdr:row>
      <xdr:rowOff>82919</xdr:rowOff>
    </xdr:from>
    <xdr:to>
      <xdr:col>6</xdr:col>
      <xdr:colOff>66045</xdr:colOff>
      <xdr:row>12</xdr:row>
      <xdr:rowOff>101444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601" y="892544"/>
          <a:ext cx="2161544" cy="1152000"/>
        </a:xfrm>
        <a:prstGeom prst="rect">
          <a:avLst/>
        </a:prstGeom>
      </xdr:spPr>
    </xdr:pic>
    <xdr:clientData/>
  </xdr:twoCellAnchor>
  <xdr:twoCellAnchor editAs="oneCell">
    <xdr:from>
      <xdr:col>1</xdr:col>
      <xdr:colOff>0</xdr:colOff>
      <xdr:row>6</xdr:row>
      <xdr:rowOff>66675</xdr:rowOff>
    </xdr:from>
    <xdr:to>
      <xdr:col>2</xdr:col>
      <xdr:colOff>1230880</xdr:colOff>
      <xdr:row>11</xdr:row>
      <xdr:rowOff>157050</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0" y="1038225"/>
          <a:ext cx="2764405"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0107083" cy="60642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0.7981</cdr:x>
      <cdr:y>0</cdr:y>
    </cdr:from>
    <cdr:to>
      <cdr:x>1</cdr:x>
      <cdr:y>0.16322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15582" y="0"/>
          <a:ext cx="1875962" cy="993770"/>
        </a:xfrm>
        <a:prstGeom xmlns:a="http://schemas.openxmlformats.org/drawingml/2006/main" prst="rect">
          <a:avLst/>
        </a:prstGeom>
      </cdr:spPr>
    </cdr:pic>
  </cdr:relSizeAnchor>
  <cdr:relSizeAnchor xmlns:cdr="http://schemas.openxmlformats.org/drawingml/2006/chartDrawing">
    <cdr:from>
      <cdr:x>0.02281</cdr:x>
      <cdr:y>0.28621</cdr:y>
    </cdr:from>
    <cdr:to>
      <cdr:x>0.04219</cdr:x>
      <cdr:y>0.3089</cdr:y>
    </cdr:to>
    <cdr:sp macro="" textlink="">
      <cdr:nvSpPr>
        <cdr:cNvPr id="4" name="ZoneTexte 3"/>
        <cdr:cNvSpPr txBox="1"/>
      </cdr:nvSpPr>
      <cdr:spPr>
        <a:xfrm xmlns:a="http://schemas.openxmlformats.org/drawingml/2006/main">
          <a:off x="211667" y="1735667"/>
          <a:ext cx="179916" cy="137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0.18016</cdr:x>
      <cdr:y>0.55497</cdr:y>
    </cdr:from>
    <cdr:to>
      <cdr:x>0.27868</cdr:x>
      <cdr:y>0.70576</cdr:y>
    </cdr:to>
    <cdr:sp macro="" textlink="">
      <cdr:nvSpPr>
        <cdr:cNvPr id="7" name="ZoneTexte 6"/>
        <cdr:cNvSpPr txBox="1"/>
      </cdr:nvSpPr>
      <cdr:spPr>
        <a:xfrm xmlns:a="http://schemas.openxmlformats.org/drawingml/2006/main">
          <a:off x="1672167" y="33655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0.01368</cdr:x>
      <cdr:y>0.04712</cdr:y>
    </cdr:from>
    <cdr:to>
      <cdr:x>0.99772</cdr:x>
      <cdr:y>0.14485</cdr:y>
    </cdr:to>
    <cdr:sp macro="" textlink="">
      <cdr:nvSpPr>
        <cdr:cNvPr id="9" name="ZoneTexte 8"/>
        <cdr:cNvSpPr txBox="1"/>
      </cdr:nvSpPr>
      <cdr:spPr>
        <a:xfrm xmlns:a="http://schemas.openxmlformats.org/drawingml/2006/main">
          <a:off x="127000" y="285750"/>
          <a:ext cx="9133417" cy="592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0.08202</cdr:y>
    </cdr:from>
    <cdr:to>
      <cdr:x>1</cdr:x>
      <cdr:y>0.13962</cdr:y>
    </cdr:to>
    <cdr:sp macro="" textlink="'Titre graphique'!$B$2">
      <cdr:nvSpPr>
        <cdr:cNvPr id="10" name="ZoneTexte 9"/>
        <cdr:cNvSpPr txBox="1"/>
      </cdr:nvSpPr>
      <cdr:spPr>
        <a:xfrm xmlns:a="http://schemas.openxmlformats.org/drawingml/2006/main">
          <a:off x="0" y="497414"/>
          <a:ext cx="9281583" cy="3492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394F806-C22B-43F3-B937-F39713BE0148}" type="TxLink">
            <a:rPr lang="en-US" sz="2000" b="1" i="0" u="none" strike="noStrike">
              <a:solidFill>
                <a:srgbClr val="000000"/>
              </a:solidFill>
              <a:latin typeface="Arial"/>
              <a:cs typeface="Arial"/>
            </a:rPr>
            <a:pPr algn="ctr"/>
            <a:t>Courbe de croissance en élevage</a:t>
          </a:fld>
          <a:endParaRPr lang="fr-FR" sz="2000" b="1"/>
        </a:p>
      </cdr:txBody>
    </cdr:sp>
  </cdr:relSizeAnchor>
  <cdr:relSizeAnchor xmlns:cdr="http://schemas.openxmlformats.org/drawingml/2006/chartDrawing">
    <cdr:from>
      <cdr:x>0</cdr:x>
      <cdr:y>0.01012</cdr:y>
    </cdr:from>
    <cdr:to>
      <cdr:x>1</cdr:x>
      <cdr:y>0.06771</cdr:y>
    </cdr:to>
    <cdr:sp macro="" textlink="Data!$F$25">
      <cdr:nvSpPr>
        <cdr:cNvPr id="11" name="ZoneTexte 1"/>
        <cdr:cNvSpPr txBox="1"/>
      </cdr:nvSpPr>
      <cdr:spPr>
        <a:xfrm xmlns:a="http://schemas.openxmlformats.org/drawingml/2006/main">
          <a:off x="0" y="61383"/>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A2E289C-4567-4AE2-B383-A3B50DBE8105}" type="TxLink">
            <a:rPr lang="en-US" sz="2000" b="1" i="0" u="none" strike="noStrike">
              <a:solidFill>
                <a:srgbClr val="000000"/>
              </a:solidFill>
              <a:latin typeface="Arial"/>
              <a:cs typeface="Arial"/>
            </a:rPr>
            <a:pPr algn="ctr"/>
            <a:t> </a:t>
          </a:fld>
          <a:endParaRPr lang="fr-FR" sz="6000" b="1"/>
        </a:p>
      </cdr:txBody>
    </cdr:sp>
  </cdr:relSizeAnchor>
  <cdr:relSizeAnchor xmlns:cdr="http://schemas.openxmlformats.org/drawingml/2006/chartDrawing">
    <cdr:from>
      <cdr:x>0.00607</cdr:x>
      <cdr:y>0.02234</cdr:y>
    </cdr:from>
    <cdr:to>
      <cdr:x>0.22442</cdr:x>
      <cdr:y>0.14107</cdr:y>
    </cdr:to>
    <cdr:pic>
      <cdr:nvPicPr>
        <cdr:cNvPr id="8" name="Image 7"/>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1384" y="135467"/>
          <a:ext cx="2209211" cy="72000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absoluteAnchor>
    <xdr:pos x="0" y="0"/>
    <xdr:ext cx="101092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0.85555</cdr:y>
    </cdr:from>
    <cdr:to>
      <cdr:x>0.09538</cdr:x>
      <cdr:y>0.89495</cdr:y>
    </cdr:to>
    <cdr:sp macro="" textlink="">
      <cdr:nvSpPr>
        <cdr:cNvPr id="5" name="ZoneTexte 4"/>
        <cdr:cNvSpPr txBox="1"/>
      </cdr:nvSpPr>
      <cdr:spPr>
        <a:xfrm xmlns:a="http://schemas.openxmlformats.org/drawingml/2006/main">
          <a:off x="0" y="5188274"/>
          <a:ext cx="885277" cy="2389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i="1">
              <a:latin typeface="Arial" panose="020B0604020202020204" pitchFamily="34" charset="0"/>
              <a:cs typeface="Arial" panose="020B0604020202020204" pitchFamily="34" charset="0"/>
            </a:rPr>
            <a:t>1400</a:t>
          </a:r>
        </a:p>
      </cdr:txBody>
    </cdr:sp>
  </cdr:relSizeAnchor>
  <cdr:relSizeAnchor xmlns:cdr="http://schemas.openxmlformats.org/drawingml/2006/chartDrawing">
    <cdr:from>
      <cdr:x>0.001</cdr:x>
      <cdr:y>0.78319</cdr:y>
    </cdr:from>
    <cdr:to>
      <cdr:x>0.09639</cdr:x>
      <cdr:y>0.82184</cdr:y>
    </cdr:to>
    <cdr:sp macro="" textlink="">
      <cdr:nvSpPr>
        <cdr:cNvPr id="6" name="ZoneTexte 1"/>
        <cdr:cNvSpPr txBox="1"/>
      </cdr:nvSpPr>
      <cdr:spPr>
        <a:xfrm xmlns:a="http://schemas.openxmlformats.org/drawingml/2006/main">
          <a:off x="9338" y="4729255"/>
          <a:ext cx="887133" cy="233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100" i="1">
              <a:latin typeface="Arial" panose="020B0604020202020204" pitchFamily="34" charset="0"/>
              <a:cs typeface="Arial" panose="020B0604020202020204" pitchFamily="34" charset="0"/>
            </a:rPr>
            <a:t>1600</a:t>
          </a:r>
        </a:p>
      </cdr:txBody>
    </cdr:sp>
  </cdr:relSizeAnchor>
  <cdr:relSizeAnchor xmlns:cdr="http://schemas.openxmlformats.org/drawingml/2006/chartDrawing">
    <cdr:from>
      <cdr:x>0</cdr:x>
      <cdr:y>0.70617</cdr:y>
    </cdr:from>
    <cdr:to>
      <cdr:x>0.09538</cdr:x>
      <cdr:y>0.74458</cdr:y>
    </cdr:to>
    <cdr:sp macro="" textlink="">
      <cdr:nvSpPr>
        <cdr:cNvPr id="7" name="ZoneTexte 1"/>
        <cdr:cNvSpPr txBox="1"/>
      </cdr:nvSpPr>
      <cdr:spPr>
        <a:xfrm xmlns:a="http://schemas.openxmlformats.org/drawingml/2006/main">
          <a:off x="0" y="4271682"/>
          <a:ext cx="887133" cy="233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100" i="1">
              <a:latin typeface="Arial" panose="020B0604020202020204" pitchFamily="34" charset="0"/>
              <a:cs typeface="Arial" panose="020B0604020202020204" pitchFamily="34" charset="0"/>
            </a:rPr>
            <a:t>1800</a:t>
          </a:r>
        </a:p>
      </cdr:txBody>
    </cdr:sp>
  </cdr:relSizeAnchor>
  <cdr:relSizeAnchor xmlns:cdr="http://schemas.openxmlformats.org/drawingml/2006/chartDrawing">
    <cdr:from>
      <cdr:x>0.7981</cdr:x>
      <cdr:y>0</cdr:y>
    </cdr:from>
    <cdr:to>
      <cdr:x>1</cdr:x>
      <cdr:y>0.16322</cdr:y>
    </cdr:to>
    <cdr:pic>
      <cdr:nvPicPr>
        <cdr:cNvPr id="11" name="Image 10"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07631" y="0"/>
          <a:ext cx="1873952" cy="989807"/>
        </a:xfrm>
        <a:prstGeom xmlns:a="http://schemas.openxmlformats.org/drawingml/2006/main" prst="rect">
          <a:avLst/>
        </a:prstGeom>
      </cdr:spPr>
    </cdr:pic>
  </cdr:relSizeAnchor>
  <cdr:relSizeAnchor xmlns:cdr="http://schemas.openxmlformats.org/drawingml/2006/chartDrawing">
    <cdr:from>
      <cdr:x>0</cdr:x>
      <cdr:y>0.08377</cdr:y>
    </cdr:from>
    <cdr:to>
      <cdr:x>1</cdr:x>
      <cdr:y>0.14136</cdr:y>
    </cdr:to>
    <cdr:sp macro="" textlink="'Titre graphique'!$B$5">
      <cdr:nvSpPr>
        <cdr:cNvPr id="13" name="ZoneTexte 1"/>
        <cdr:cNvSpPr txBox="1"/>
      </cdr:nvSpPr>
      <cdr:spPr>
        <a:xfrm xmlns:a="http://schemas.openxmlformats.org/drawingml/2006/main">
          <a:off x="0" y="507997"/>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ED84BA0-320B-4107-BAA1-8B5916F75BEE}" type="TxLink">
            <a:rPr lang="en-US" sz="2000" b="1" i="0" u="none" strike="noStrike">
              <a:solidFill>
                <a:srgbClr val="000000"/>
              </a:solidFill>
              <a:latin typeface="Arial"/>
              <a:cs typeface="Arial"/>
            </a:rPr>
            <a:pPr algn="ctr"/>
            <a:t>Normes de production</a:t>
          </a:fld>
          <a:endParaRPr lang="fr-FR" sz="2000" b="1"/>
        </a:p>
      </cdr:txBody>
    </cdr:sp>
  </cdr:relSizeAnchor>
  <cdr:relSizeAnchor xmlns:cdr="http://schemas.openxmlformats.org/drawingml/2006/chartDrawing">
    <cdr:from>
      <cdr:x>0</cdr:x>
      <cdr:y>0.00838</cdr:y>
    </cdr:from>
    <cdr:to>
      <cdr:x>1</cdr:x>
      <cdr:y>0.06597</cdr:y>
    </cdr:to>
    <cdr:sp macro="" textlink="Data!$F$25">
      <cdr:nvSpPr>
        <cdr:cNvPr id="14" name="ZoneTexte 1"/>
        <cdr:cNvSpPr txBox="1"/>
      </cdr:nvSpPr>
      <cdr:spPr>
        <a:xfrm xmlns:a="http://schemas.openxmlformats.org/drawingml/2006/main">
          <a:off x="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F678D273-7AF6-4376-80E6-4BAB64FAD6D0}" type="TxLink">
            <a:rPr lang="en-US" sz="2000" b="1" i="0" u="none" strike="noStrike">
              <a:solidFill>
                <a:srgbClr val="000000"/>
              </a:solidFill>
              <a:latin typeface="Arial"/>
              <a:cs typeface="Arial"/>
            </a:rPr>
            <a:pPr algn="ctr"/>
            <a:t> </a:t>
          </a:fld>
          <a:endParaRPr lang="fr-FR" sz="13800" b="1"/>
        </a:p>
      </cdr:txBody>
    </cdr:sp>
  </cdr:relSizeAnchor>
  <cdr:relSizeAnchor xmlns:cdr="http://schemas.openxmlformats.org/drawingml/2006/chartDrawing">
    <cdr:from>
      <cdr:x>0.00398</cdr:x>
      <cdr:y>0.01361</cdr:y>
    </cdr:from>
    <cdr:to>
      <cdr:x>0.22233</cdr:x>
      <cdr:y>0.13234</cdr:y>
    </cdr:to>
    <cdr:pic>
      <cdr:nvPicPr>
        <cdr:cNvPr id="8" name="Image 7"/>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0218" y="82549"/>
          <a:ext cx="2209211" cy="720000"/>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absoluteAnchor>
    <xdr:pos x="0" y="0"/>
    <xdr:ext cx="101092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0.79805</cdr:x>
      <cdr:y>0</cdr:y>
    </cdr:from>
    <cdr:to>
      <cdr:x>1</cdr:x>
      <cdr:y>0.16312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13271" y="0"/>
          <a:ext cx="1875962" cy="993770"/>
        </a:xfrm>
        <a:prstGeom xmlns:a="http://schemas.openxmlformats.org/drawingml/2006/main" prst="rect">
          <a:avLst/>
        </a:prstGeom>
      </cdr:spPr>
    </cdr:pic>
  </cdr:relSizeAnchor>
  <cdr:relSizeAnchor xmlns:cdr="http://schemas.openxmlformats.org/drawingml/2006/chartDrawing">
    <cdr:from>
      <cdr:x>0.21779</cdr:x>
      <cdr:y>0.06981</cdr:y>
    </cdr:from>
    <cdr:to>
      <cdr:x>0.77993</cdr:x>
      <cdr:y>0.1274</cdr:y>
    </cdr:to>
    <cdr:sp macro="" textlink="'Titre graphique'!$B$9">
      <cdr:nvSpPr>
        <cdr:cNvPr id="10" name="ZoneTexte 1"/>
        <cdr:cNvSpPr txBox="1"/>
      </cdr:nvSpPr>
      <cdr:spPr>
        <a:xfrm xmlns:a="http://schemas.openxmlformats.org/drawingml/2006/main">
          <a:off x="2021417" y="423343"/>
          <a:ext cx="5217583" cy="349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FA4C0C-DF3B-4F89-88B5-133B9023D3B3}" type="TxLink">
            <a:rPr lang="en-US" sz="2000" b="1" i="0" u="none" strike="noStrike">
              <a:solidFill>
                <a:srgbClr val="000000"/>
              </a:solidFill>
              <a:latin typeface="Arial"/>
              <a:cs typeface="Arial"/>
            </a:rPr>
            <a:pPr algn="ctr"/>
            <a:t>Evolution des œufs déclassés en ferme et centre de conditionnement</a:t>
          </a:fld>
          <a:endParaRPr lang="fr-FR" sz="2000" b="1"/>
        </a:p>
      </cdr:txBody>
    </cdr:sp>
  </cdr:relSizeAnchor>
  <cdr:relSizeAnchor xmlns:cdr="http://schemas.openxmlformats.org/drawingml/2006/chartDrawing">
    <cdr:from>
      <cdr:x>5.0307E-17</cdr:x>
      <cdr:y>0.00838</cdr:y>
    </cdr:from>
    <cdr:to>
      <cdr:x>1</cdr:x>
      <cdr:y>0.06597</cdr:y>
    </cdr:to>
    <cdr:sp macro="" textlink="Data!$F$25">
      <cdr:nvSpPr>
        <cdr:cNvPr id="11" name="ZoneTexte 1"/>
        <cdr:cNvSpPr txBox="1"/>
      </cdr:nvSpPr>
      <cdr:spPr>
        <a:xfrm xmlns:a="http://schemas.openxmlformats.org/drawingml/2006/main">
          <a:off x="5080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9DA345-427D-4EB8-9602-44690EE95A9A}" type="TxLink">
            <a:rPr lang="en-US" sz="2000" b="1" i="0" u="none" strike="noStrike">
              <a:solidFill>
                <a:srgbClr val="000000"/>
              </a:solidFill>
              <a:latin typeface="Arial"/>
              <a:cs typeface="Arial"/>
            </a:rPr>
            <a:pPr algn="ctr"/>
            <a:t> </a:t>
          </a:fld>
          <a:endParaRPr lang="fr-FR" sz="2000" b="1"/>
        </a:p>
      </cdr:txBody>
    </cdr:sp>
  </cdr:relSizeAnchor>
  <cdr:relSizeAnchor xmlns:cdr="http://schemas.openxmlformats.org/drawingml/2006/chartDrawing">
    <cdr:from>
      <cdr:x>0.00314</cdr:x>
      <cdr:y>0.0171</cdr:y>
    </cdr:from>
    <cdr:to>
      <cdr:x>0.22149</cdr:x>
      <cdr:y>0.13583</cdr:y>
    </cdr:to>
    <cdr:pic>
      <cdr:nvPicPr>
        <cdr:cNvPr id="7" name="Image 6"/>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50" y="103716"/>
          <a:ext cx="2209211" cy="72000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absoluteAnchor>
    <xdr:pos x="0" y="0"/>
    <xdr:ext cx="101092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0.79805</cdr:x>
      <cdr:y>0</cdr:y>
    </cdr:from>
    <cdr:to>
      <cdr:x>1</cdr:x>
      <cdr:y>0.16312</cdr:y>
    </cdr:to>
    <cdr:pic>
      <cdr:nvPicPr>
        <cdr:cNvPr id="6" name="Image 5" descr="LOGO_NOVOGEN_payoff_GREY.pn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13271" y="0"/>
          <a:ext cx="1875962" cy="993770"/>
        </a:xfrm>
        <a:prstGeom xmlns:a="http://schemas.openxmlformats.org/drawingml/2006/main" prst="rect">
          <a:avLst/>
        </a:prstGeom>
      </cdr:spPr>
    </cdr:pic>
  </cdr:relSizeAnchor>
  <cdr:relSizeAnchor xmlns:cdr="http://schemas.openxmlformats.org/drawingml/2006/chartDrawing">
    <cdr:from>
      <cdr:x>0</cdr:x>
      <cdr:y>0.08377</cdr:y>
    </cdr:from>
    <cdr:to>
      <cdr:x>1</cdr:x>
      <cdr:y>0.14136</cdr:y>
    </cdr:to>
    <cdr:sp macro="" textlink="'Titre graphique'!$B$15">
      <cdr:nvSpPr>
        <cdr:cNvPr id="10" name="ZoneTexte 1"/>
        <cdr:cNvSpPr txBox="1"/>
      </cdr:nvSpPr>
      <cdr:spPr>
        <a:xfrm xmlns:a="http://schemas.openxmlformats.org/drawingml/2006/main">
          <a:off x="0" y="507998"/>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B57743B-B42E-4E3B-8911-09E688B4C914}" type="TxLink">
            <a:rPr lang="en-US" sz="2000" b="1" i="0" u="none" strike="noStrike">
              <a:solidFill>
                <a:srgbClr val="000000"/>
              </a:solidFill>
              <a:latin typeface="Arial"/>
              <a:cs typeface="Arial"/>
            </a:rPr>
            <a:pPr algn="ctr"/>
            <a:t>Masse d'œuf/jour et indice de consomation</a:t>
          </a:fld>
          <a:endParaRPr lang="fr-FR" sz="2000" b="1"/>
        </a:p>
      </cdr:txBody>
    </cdr:sp>
  </cdr:relSizeAnchor>
  <cdr:relSizeAnchor xmlns:cdr="http://schemas.openxmlformats.org/drawingml/2006/chartDrawing">
    <cdr:from>
      <cdr:x>5.0307E-17</cdr:x>
      <cdr:y>0.00838</cdr:y>
    </cdr:from>
    <cdr:to>
      <cdr:x>1</cdr:x>
      <cdr:y>0.06597</cdr:y>
    </cdr:to>
    <cdr:sp macro="" textlink="Data!$F$25">
      <cdr:nvSpPr>
        <cdr:cNvPr id="11" name="ZoneTexte 1"/>
        <cdr:cNvSpPr txBox="1"/>
      </cdr:nvSpPr>
      <cdr:spPr>
        <a:xfrm xmlns:a="http://schemas.openxmlformats.org/drawingml/2006/main">
          <a:off x="50800" y="50800"/>
          <a:ext cx="9281583" cy="349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2DBB454-34CD-4AE9-A2AF-E493DFAC42C7}" type="TxLink">
            <a:rPr lang="en-US" sz="2000" b="1" i="0" u="none" strike="noStrike">
              <a:solidFill>
                <a:srgbClr val="000000"/>
              </a:solidFill>
              <a:latin typeface="Arial"/>
              <a:cs typeface="Arial"/>
            </a:rPr>
            <a:pPr algn="ctr"/>
            <a:t> </a:t>
          </a:fld>
          <a:endParaRPr lang="fr-FR" sz="49600" b="1"/>
        </a:p>
      </cdr:txBody>
    </cdr:sp>
  </cdr:relSizeAnchor>
  <cdr:relSizeAnchor xmlns:cdr="http://schemas.openxmlformats.org/drawingml/2006/chartDrawing">
    <cdr:from>
      <cdr:x>0.00418</cdr:x>
      <cdr:y>0.01361</cdr:y>
    </cdr:from>
    <cdr:to>
      <cdr:x>0.22254</cdr:x>
      <cdr:y>0.13234</cdr:y>
    </cdr:to>
    <cdr:pic>
      <cdr:nvPicPr>
        <cdr:cNvPr id="5" name="Image 4"/>
        <cdr:cNvPicPr>
          <a:picLocks xmlns:a="http://schemas.openxmlformats.org/drawingml/2006/main" noChangeAspect="1"/>
        </cdr:cNvPicPr>
      </cdr:nvPicPr>
      <cdr:blipFill>
        <a:blip xmlns:a="http://schemas.openxmlformats.org/drawingml/2006/main" xmlns:r="http://schemas.openxmlformats.org/officeDocument/2006/relationships" r:embed="rId2">
          <a:biLevel thresh="75000"/>
          <a:extLst>
            <a:ext uri="{BEBA8EAE-BF5A-486C-A8C5-ECC9F3942E4B}">
              <a14:imgProps xmlns:a14="http://schemas.microsoft.com/office/drawing/2010/main">
                <a14:imgLayer r:embed="rId3">
                  <a14:imgEffect>
                    <a14:colorTemperature colorTemp="11500"/>
                  </a14:imgEffect>
                  <a14:imgEffect>
                    <a14:saturation sat="0"/>
                  </a14:imgEffect>
                  <a14:imgEffect>
                    <a14:brightnessContrast contrast="-4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334" y="82550"/>
          <a:ext cx="2209211" cy="720000"/>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ruthSJ/EXCEL/brlrtest/97PRO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UTHSJ/EXCEL/LINE10/MATING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uthSJ/EXCEL/brlrtest/L-PRO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uillaume%20Guenael/Documents/Novogen/Clients/Indonesia/Wonokoyo/LWGI/NOVOgen%20BROWN--NOVOgen%20BROWN--ID%20-%20Indonesia--2013-07-14--Wonokoyo--LWGI%204--LWGI%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y%20Documents/EXCEL/SJS/HH-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 96 H-3"/>
      <sheetName val="J3 Processing @ 56 Days"/>
      <sheetName val="J3 Processing @ 42 Days"/>
      <sheetName val="J2 Proc - Males"/>
      <sheetName val="J2 Processing Results"/>
      <sheetName val="J1Proc-Males"/>
      <sheetName val="Golen Comet"/>
      <sheetName val="H4PROC"/>
      <sheetName val="J1PROC-Fema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4 H1-3 Wingband"/>
      <sheetName val="G 1 H 1-4 RESORTS - Master"/>
      <sheetName val="G 1 H 1-4 RESORTS - Pullout"/>
      <sheetName val="G 1 H 1-4 RESORTS - Wingband"/>
      <sheetName val="Gp 3-Resorts-MASTER"/>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1 Proc @ 35 days"/>
      <sheetName val="L-1 Proc @ 41 days"/>
      <sheetName val="L-1 Proc @ 48 days"/>
      <sheetName val="L-2 Proc @ 42 Days"/>
      <sheetName val="L-3 Proc@ 42 days"/>
      <sheetName val="L-4 Proc @ 42 Days"/>
      <sheetName val="L-5 Proc @ 42 Days"/>
    </sheetNames>
    <sheetDataSet>
      <sheetData sheetId="0" refreshError="1"/>
      <sheetData sheetId="1" refreshError="1"/>
      <sheetData sheetId="2" refreshError="1"/>
      <sheetData sheetId="3">
        <row r="93">
          <cell r="B93" t="str">
            <v xml:space="preserve">      6610 X 56 Averages:                  </v>
          </cell>
          <cell r="E93">
            <v>5.9999999999999991</v>
          </cell>
          <cell r="F93">
            <v>2.7692307692307692</v>
          </cell>
          <cell r="G93">
            <v>0</v>
          </cell>
          <cell r="H93">
            <v>1837.6923076923076</v>
          </cell>
          <cell r="I93">
            <v>782.69230769230774</v>
          </cell>
          <cell r="J93">
            <v>1023.9230769230769</v>
          </cell>
          <cell r="K93">
            <v>203.76923076923077</v>
          </cell>
          <cell r="L93">
            <v>412.84615384615387</v>
          </cell>
          <cell r="M93">
            <v>94.538461538461533</v>
          </cell>
          <cell r="N93">
            <v>235</v>
          </cell>
          <cell r="O93">
            <v>70.615384615384613</v>
          </cell>
          <cell r="P93">
            <v>263.30769230769232</v>
          </cell>
          <cell r="Q93">
            <v>220.69230769230768</v>
          </cell>
          <cell r="R93">
            <v>143</v>
          </cell>
          <cell r="S93">
            <v>109.07692307692308</v>
          </cell>
          <cell r="T93">
            <v>18.153846153846153</v>
          </cell>
          <cell r="U93">
            <v>22</v>
          </cell>
          <cell r="V93">
            <v>2721.6</v>
          </cell>
          <cell r="W93">
            <v>4.0513498846832174</v>
          </cell>
          <cell r="X93">
            <v>0.67522498078053639</v>
          </cell>
          <cell r="Y93">
            <v>455.69230769230768</v>
          </cell>
          <cell r="Z93">
            <v>549.30769230769238</v>
          </cell>
          <cell r="AA93">
            <v>507.38461538461542</v>
          </cell>
          <cell r="AB93">
            <v>0.49553001277139214</v>
          </cell>
          <cell r="AC93">
            <v>0.55717873587275013</v>
          </cell>
          <cell r="AD93">
            <v>0.42591042277103397</v>
          </cell>
          <cell r="AE93">
            <v>0.16743544521322298</v>
          </cell>
          <cell r="AF93">
            <v>0.20183263238818797</v>
          </cell>
          <cell r="AG93">
            <v>0.18642879753990868</v>
          </cell>
          <cell r="AH93">
            <v>0.28758535702980148</v>
          </cell>
          <cell r="AI93">
            <v>0.37622100122100122</v>
          </cell>
          <cell r="AJ93">
            <v>7.4871116537783208E-2</v>
          </cell>
          <cell r="AK93">
            <v>0.15169244335911003</v>
          </cell>
          <cell r="AL93">
            <v>3.4736354180798623E-2</v>
          </cell>
          <cell r="AM93">
            <v>8.6346266901822455E-2</v>
          </cell>
          <cell r="AN93">
            <v>2.5946275946275948E-2</v>
          </cell>
          <cell r="AO93">
            <v>9.6747388414055085E-2</v>
          </cell>
          <cell r="AP93">
            <v>8.1089178311400528E-2</v>
          </cell>
          <cell r="AQ93">
            <v>0.10508524397413287</v>
          </cell>
          <cell r="AR93">
            <v>8.0156469045357934E-2</v>
          </cell>
          <cell r="AS93">
            <v>1.3340568896124451E-2</v>
          </cell>
          <cell r="AT93">
            <v>1.6166960611405056E-2</v>
          </cell>
        </row>
      </sheetData>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on"/>
      <sheetName val="Menu"/>
      <sheetName val="Identity"/>
      <sheetName val="Rearing data"/>
      <sheetName val="Graph 0-40"/>
      <sheetName val="Weekly Growth"/>
      <sheetName val="Prod. Data"/>
      <sheetName val="Graph 16-68"/>
      <sheetName val="Prod. Chart"/>
      <sheetName val="Fertility"/>
      <sheetName val="Cumulative"/>
      <sheetName val="Summary"/>
      <sheetName val="Onset of lay"/>
      <sheetName val="Parametres"/>
      <sheetName val="Listes"/>
      <sheetName val="Langues"/>
      <sheetName val="BD"/>
      <sheetName val="Standards - donnee pour graphes"/>
      <sheetName val="Standards - Entree en ponte"/>
      <sheetName val="Donnees G-Production"/>
      <sheetName val="Donnees G-Production Aliment"/>
      <sheetName val="Donnees G - Croiss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B5">
            <v>20</v>
          </cell>
        </row>
      </sheetData>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ills Bldg Assignments"/>
      <sheetName val="HH-Vaccination Record"/>
      <sheetName val="House # ________"/>
      <sheetName val="Cage House Chores"/>
      <sheetName val="#Tons"/>
      <sheetName val="Vehicle Maint"/>
      <sheetName val="HH-Temp Records"/>
    </sheetNames>
    <sheetDataSet>
      <sheetData sheetId="0"/>
      <sheetData sheetId="1">
        <row r="1">
          <cell r="A1" t="str">
            <v>Date</v>
          </cell>
          <cell r="B1" t="str">
            <v>Mortality</v>
          </cell>
          <cell r="C1" t="str">
            <v>Date of Vaccination / Type</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ovogen-layer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F92"/>
  <sheetViews>
    <sheetView showGridLines="0" workbookViewId="0">
      <selection activeCell="D38" sqref="D38"/>
    </sheetView>
  </sheetViews>
  <sheetFormatPr baseColWidth="10" defaultRowHeight="12" x14ac:dyDescent="0.2"/>
  <cols>
    <col min="1" max="1" width="7.5703125" style="67" customWidth="1"/>
    <col min="2" max="3" width="11.42578125" style="67"/>
    <col min="4" max="4" width="16.7109375" style="67" customWidth="1"/>
    <col min="5" max="5" width="11.42578125" style="67"/>
    <col min="6" max="6" width="17" style="67" customWidth="1"/>
    <col min="7" max="16384" width="11.42578125" style="67"/>
  </cols>
  <sheetData>
    <row r="1" spans="1:6" x14ac:dyDescent="0.2">
      <c r="A1" s="67" t="s">
        <v>207</v>
      </c>
      <c r="B1" s="67" t="s">
        <v>13</v>
      </c>
      <c r="C1" s="67" t="s">
        <v>242</v>
      </c>
      <c r="D1" s="67" t="s">
        <v>243</v>
      </c>
      <c r="E1" s="67" t="s">
        <v>241</v>
      </c>
      <c r="F1" s="67" t="s">
        <v>29</v>
      </c>
    </row>
    <row r="2" spans="1:6" x14ac:dyDescent="0.2">
      <c r="A2" s="67">
        <v>0</v>
      </c>
    </row>
    <row r="3" spans="1:6" x14ac:dyDescent="0.2">
      <c r="A3" s="67">
        <v>1</v>
      </c>
      <c r="B3" s="67" t="str">
        <f>'Rearing Data-Table'!L11</f>
        <v/>
      </c>
      <c r="C3" s="67">
        <f>'Rearing Data-Table'!G11</f>
        <v>0</v>
      </c>
      <c r="F3" s="67">
        <f>'Rearing Data-Table'!R11</f>
        <v>0</v>
      </c>
    </row>
    <row r="4" spans="1:6" x14ac:dyDescent="0.2">
      <c r="A4" s="67">
        <v>2</v>
      </c>
      <c r="B4" s="67" t="str">
        <f>'Rearing Data-Table'!L12</f>
        <v/>
      </c>
      <c r="C4" s="67">
        <f>'Rearing Data-Table'!G12</f>
        <v>0</v>
      </c>
      <c r="F4" s="67">
        <f>'Rearing Data-Table'!R12</f>
        <v>0</v>
      </c>
    </row>
    <row r="5" spans="1:6" x14ac:dyDescent="0.2">
      <c r="A5" s="67">
        <v>3</v>
      </c>
      <c r="B5" s="67" t="str">
        <f>'Rearing Data-Table'!L13</f>
        <v/>
      </c>
      <c r="C5" s="67">
        <f>'Rearing Data-Table'!G13</f>
        <v>0</v>
      </c>
      <c r="F5" s="67">
        <f>'Rearing Data-Table'!R13</f>
        <v>0</v>
      </c>
    </row>
    <row r="6" spans="1:6" x14ac:dyDescent="0.2">
      <c r="A6" s="67">
        <v>4</v>
      </c>
      <c r="B6" s="67" t="str">
        <f>'Rearing Data-Table'!L14</f>
        <v/>
      </c>
      <c r="C6" s="67">
        <f>'Rearing Data-Table'!G14</f>
        <v>0</v>
      </c>
      <c r="F6" s="67">
        <f>'Rearing Data-Table'!R14</f>
        <v>0</v>
      </c>
    </row>
    <row r="7" spans="1:6" x14ac:dyDescent="0.2">
      <c r="A7" s="67">
        <v>5</v>
      </c>
      <c r="B7" s="67" t="str">
        <f>'Rearing Data-Table'!L15</f>
        <v/>
      </c>
      <c r="C7" s="67">
        <f>'Rearing Data-Table'!G15</f>
        <v>0</v>
      </c>
      <c r="F7" s="67">
        <f>'Rearing Data-Table'!R15</f>
        <v>0</v>
      </c>
    </row>
    <row r="8" spans="1:6" x14ac:dyDescent="0.2">
      <c r="A8" s="67">
        <v>6</v>
      </c>
      <c r="B8" s="67" t="str">
        <f>'Rearing Data-Table'!L16</f>
        <v/>
      </c>
      <c r="C8" s="67">
        <f>'Rearing Data-Table'!G16</f>
        <v>0</v>
      </c>
      <c r="F8" s="67">
        <f>'Rearing Data-Table'!R16</f>
        <v>0</v>
      </c>
    </row>
    <row r="9" spans="1:6" x14ac:dyDescent="0.2">
      <c r="A9" s="67">
        <v>7</v>
      </c>
      <c r="B9" s="67" t="str">
        <f>'Rearing Data-Table'!L17</f>
        <v/>
      </c>
      <c r="C9" s="67">
        <f>'Rearing Data-Table'!G17</f>
        <v>0</v>
      </c>
      <c r="F9" s="67">
        <f>'Rearing Data-Table'!R17</f>
        <v>0</v>
      </c>
    </row>
    <row r="10" spans="1:6" x14ac:dyDescent="0.2">
      <c r="A10" s="67">
        <v>8</v>
      </c>
      <c r="B10" s="67" t="str">
        <f>'Rearing Data-Table'!L18</f>
        <v/>
      </c>
      <c r="C10" s="67">
        <f>'Rearing Data-Table'!G18</f>
        <v>0</v>
      </c>
      <c r="F10" s="67">
        <f>'Rearing Data-Table'!R18</f>
        <v>0</v>
      </c>
    </row>
    <row r="11" spans="1:6" x14ac:dyDescent="0.2">
      <c r="A11" s="67">
        <v>9</v>
      </c>
      <c r="B11" s="67" t="str">
        <f>'Rearing Data-Table'!L19</f>
        <v/>
      </c>
      <c r="C11" s="67">
        <f>'Rearing Data-Table'!G19</f>
        <v>0</v>
      </c>
      <c r="F11" s="67">
        <f>'Rearing Data-Table'!R19</f>
        <v>0</v>
      </c>
    </row>
    <row r="12" spans="1:6" x14ac:dyDescent="0.2">
      <c r="A12" s="67">
        <v>10</v>
      </c>
      <c r="B12" s="67" t="str">
        <f>'Rearing Data-Table'!L20</f>
        <v/>
      </c>
      <c r="C12" s="67">
        <f>'Rearing Data-Table'!G20</f>
        <v>0</v>
      </c>
      <c r="F12" s="67">
        <f>'Rearing Data-Table'!R20</f>
        <v>0</v>
      </c>
    </row>
    <row r="13" spans="1:6" x14ac:dyDescent="0.2">
      <c r="A13" s="67">
        <v>11</v>
      </c>
      <c r="B13" s="67" t="str">
        <f>'Rearing Data-Table'!L21</f>
        <v/>
      </c>
      <c r="C13" s="67">
        <f>'Rearing Data-Table'!G21</f>
        <v>0</v>
      </c>
      <c r="F13" s="67">
        <f>'Rearing Data-Table'!R21</f>
        <v>0</v>
      </c>
    </row>
    <row r="14" spans="1:6" x14ac:dyDescent="0.2">
      <c r="A14" s="67">
        <v>12</v>
      </c>
      <c r="B14" s="67" t="str">
        <f>'Rearing Data-Table'!L22</f>
        <v/>
      </c>
      <c r="C14" s="67">
        <f>'Rearing Data-Table'!G22</f>
        <v>0</v>
      </c>
      <c r="F14" s="67">
        <f>'Rearing Data-Table'!R22</f>
        <v>0</v>
      </c>
    </row>
    <row r="15" spans="1:6" x14ac:dyDescent="0.2">
      <c r="A15" s="67">
        <v>13</v>
      </c>
      <c r="B15" s="67" t="str">
        <f>'Rearing Data-Table'!L23</f>
        <v/>
      </c>
      <c r="C15" s="67">
        <f>'Rearing Data-Table'!G23</f>
        <v>0</v>
      </c>
      <c r="F15" s="67">
        <f>'Rearing Data-Table'!R23</f>
        <v>0</v>
      </c>
    </row>
    <row r="16" spans="1:6" x14ac:dyDescent="0.2">
      <c r="A16" s="67">
        <v>14</v>
      </c>
      <c r="B16" s="67" t="str">
        <f>'Rearing Data-Table'!L24</f>
        <v/>
      </c>
      <c r="C16" s="67">
        <f>'Rearing Data-Table'!G24</f>
        <v>0</v>
      </c>
      <c r="F16" s="67">
        <f>'Rearing Data-Table'!R24</f>
        <v>0</v>
      </c>
    </row>
    <row r="17" spans="1:6" x14ac:dyDescent="0.2">
      <c r="A17" s="67">
        <v>15</v>
      </c>
      <c r="B17" s="67" t="str">
        <f>'Rearing Data-Table'!L25</f>
        <v/>
      </c>
      <c r="C17" s="67">
        <f>'Rearing Data-Table'!G25</f>
        <v>0</v>
      </c>
      <c r="F17" s="67">
        <f>'Rearing Data-Table'!R25</f>
        <v>0</v>
      </c>
    </row>
    <row r="18" spans="1:6" x14ac:dyDescent="0.2">
      <c r="A18" s="67">
        <v>16</v>
      </c>
      <c r="B18" s="67" t="str">
        <f>'Rearing Data-Table'!L26</f>
        <v/>
      </c>
      <c r="C18" s="67">
        <f>'Rearing Data-Table'!G26</f>
        <v>0</v>
      </c>
      <c r="F18" s="67">
        <f>'Rearing Data-Table'!R26</f>
        <v>0</v>
      </c>
    </row>
    <row r="19" spans="1:6" x14ac:dyDescent="0.2">
      <c r="A19" s="67">
        <v>17</v>
      </c>
      <c r="B19" s="67" t="str">
        <f>'Rearing Data-Table'!L27</f>
        <v/>
      </c>
      <c r="C19" s="67" t="str">
        <f>'Production Data-Table'!F15</f>
        <v/>
      </c>
      <c r="D19" s="68" t="str">
        <f>'Production Data-Table'!K15</f>
        <v/>
      </c>
      <c r="E19" s="67" t="str">
        <f>'Production Data-Table'!M15</f>
        <v/>
      </c>
      <c r="F19" s="67" t="str">
        <f>'Production Data-Table'!X15</f>
        <v/>
      </c>
    </row>
    <row r="20" spans="1:6" x14ac:dyDescent="0.2">
      <c r="A20" s="67">
        <v>18</v>
      </c>
      <c r="B20" s="67" t="str">
        <f>'Production Data-Table'!AH16</f>
        <v/>
      </c>
      <c r="C20" s="67" t="str">
        <f>'Production Data-Table'!F16</f>
        <v/>
      </c>
      <c r="D20" s="68" t="e">
        <f>'Production Data-Table'!K16-'Production Data-Table'!K15</f>
        <v>#VALUE!</v>
      </c>
      <c r="E20" s="67" t="str">
        <f>'Production Data-Table'!M16</f>
        <v/>
      </c>
      <c r="F20" s="67" t="str">
        <f>'Production Data-Table'!X16</f>
        <v/>
      </c>
    </row>
    <row r="21" spans="1:6" x14ac:dyDescent="0.2">
      <c r="A21" s="67">
        <v>19</v>
      </c>
      <c r="B21" s="67" t="str">
        <f>'Production Data-Table'!AH17</f>
        <v/>
      </c>
      <c r="C21" s="67" t="str">
        <f>'Production Data-Table'!F17</f>
        <v/>
      </c>
      <c r="D21" s="68" t="e">
        <f>'Production Data-Table'!K17-'Production Data-Table'!K16</f>
        <v>#VALUE!</v>
      </c>
      <c r="E21" s="67" t="str">
        <f>'Production Data-Table'!M17</f>
        <v/>
      </c>
      <c r="F21" s="67" t="str">
        <f>'Production Data-Table'!X17</f>
        <v/>
      </c>
    </row>
    <row r="22" spans="1:6" x14ac:dyDescent="0.2">
      <c r="A22" s="67">
        <v>20</v>
      </c>
      <c r="B22" s="67" t="str">
        <f>'Production Data-Table'!AH18</f>
        <v/>
      </c>
      <c r="C22" s="67" t="str">
        <f>'Production Data-Table'!F18</f>
        <v/>
      </c>
      <c r="D22" s="68" t="e">
        <f>'Production Data-Table'!K18-'Production Data-Table'!K17</f>
        <v>#VALUE!</v>
      </c>
      <c r="E22" s="67" t="str">
        <f>'Production Data-Table'!M18</f>
        <v/>
      </c>
      <c r="F22" s="67" t="str">
        <f>'Production Data-Table'!X18</f>
        <v/>
      </c>
    </row>
    <row r="23" spans="1:6" x14ac:dyDescent="0.2">
      <c r="A23" s="67">
        <v>21</v>
      </c>
      <c r="B23" s="67" t="str">
        <f>'Production Data-Table'!AH19</f>
        <v/>
      </c>
      <c r="C23" s="67" t="str">
        <f>'Production Data-Table'!F19</f>
        <v/>
      </c>
      <c r="D23" s="68" t="e">
        <f>'Production Data-Table'!K19-'Production Data-Table'!K18</f>
        <v>#VALUE!</v>
      </c>
      <c r="E23" s="67" t="str">
        <f>'Production Data-Table'!M19</f>
        <v/>
      </c>
      <c r="F23" s="67" t="str">
        <f>'Production Data-Table'!X19</f>
        <v/>
      </c>
    </row>
    <row r="24" spans="1:6" x14ac:dyDescent="0.2">
      <c r="A24" s="67">
        <v>22</v>
      </c>
      <c r="B24" s="67" t="str">
        <f>'Production Data-Table'!AH20</f>
        <v/>
      </c>
      <c r="C24" s="67" t="str">
        <f>'Production Data-Table'!F20</f>
        <v/>
      </c>
      <c r="D24" s="68" t="e">
        <f>'Production Data-Table'!K20-'Production Data-Table'!K19</f>
        <v>#VALUE!</v>
      </c>
      <c r="E24" s="67" t="str">
        <f>'Production Data-Table'!M20</f>
        <v/>
      </c>
      <c r="F24" s="67" t="str">
        <f>'Production Data-Table'!X20</f>
        <v/>
      </c>
    </row>
    <row r="25" spans="1:6" x14ac:dyDescent="0.2">
      <c r="A25" s="67">
        <v>23</v>
      </c>
      <c r="B25" s="67" t="str">
        <f>'Production Data-Table'!AH21</f>
        <v/>
      </c>
      <c r="C25" s="67" t="str">
        <f>'Production Data-Table'!F21</f>
        <v/>
      </c>
      <c r="D25" s="68" t="e">
        <f>'Production Data-Table'!K21-'Production Data-Table'!K20</f>
        <v>#VALUE!</v>
      </c>
      <c r="E25" s="67" t="str">
        <f>'Production Data-Table'!M21</f>
        <v/>
      </c>
      <c r="F25" s="67" t="str">
        <f>'Production Data-Table'!X21</f>
        <v/>
      </c>
    </row>
    <row r="26" spans="1:6" x14ac:dyDescent="0.2">
      <c r="A26" s="67">
        <v>24</v>
      </c>
      <c r="B26" s="67" t="str">
        <f>'Production Data-Table'!AH22</f>
        <v/>
      </c>
      <c r="C26" s="67" t="str">
        <f>'Production Data-Table'!F22</f>
        <v/>
      </c>
      <c r="D26" s="68" t="e">
        <f>'Production Data-Table'!K22-'Production Data-Table'!K21</f>
        <v>#VALUE!</v>
      </c>
      <c r="E26" s="67" t="str">
        <f>'Production Data-Table'!M22</f>
        <v/>
      </c>
      <c r="F26" s="67" t="str">
        <f>'Production Data-Table'!X22</f>
        <v/>
      </c>
    </row>
    <row r="27" spans="1:6" x14ac:dyDescent="0.2">
      <c r="A27" s="67">
        <v>25</v>
      </c>
      <c r="B27" s="67" t="str">
        <f>'Production Data-Table'!AH23</f>
        <v/>
      </c>
      <c r="C27" s="67" t="str">
        <f>'Production Data-Table'!F23</f>
        <v/>
      </c>
      <c r="D27" s="68" t="e">
        <f>'Production Data-Table'!K23-'Production Data-Table'!K22</f>
        <v>#VALUE!</v>
      </c>
      <c r="E27" s="67" t="str">
        <f>'Production Data-Table'!M23</f>
        <v/>
      </c>
      <c r="F27" s="67" t="str">
        <f>'Production Data-Table'!X23</f>
        <v/>
      </c>
    </row>
    <row r="28" spans="1:6" x14ac:dyDescent="0.2">
      <c r="A28" s="67">
        <v>26</v>
      </c>
      <c r="B28" s="67" t="str">
        <f>'Production Data-Table'!AH24</f>
        <v/>
      </c>
      <c r="C28" s="67" t="str">
        <f>'Production Data-Table'!F24</f>
        <v/>
      </c>
      <c r="D28" s="68" t="e">
        <f>'Production Data-Table'!K24-'Production Data-Table'!K23</f>
        <v>#VALUE!</v>
      </c>
      <c r="E28" s="67" t="str">
        <f>'Production Data-Table'!M24</f>
        <v/>
      </c>
      <c r="F28" s="67" t="str">
        <f>'Production Data-Table'!X24</f>
        <v/>
      </c>
    </row>
    <row r="29" spans="1:6" x14ac:dyDescent="0.2">
      <c r="A29" s="67">
        <v>27</v>
      </c>
      <c r="B29" s="67" t="str">
        <f>'Production Data-Table'!AH25</f>
        <v/>
      </c>
      <c r="C29" s="67" t="str">
        <f>'Production Data-Table'!F25</f>
        <v/>
      </c>
      <c r="D29" s="68" t="e">
        <f>'Production Data-Table'!K25-'Production Data-Table'!K24</f>
        <v>#VALUE!</v>
      </c>
      <c r="E29" s="67" t="str">
        <f>'Production Data-Table'!M25</f>
        <v/>
      </c>
      <c r="F29" s="67" t="str">
        <f>'Production Data-Table'!X25</f>
        <v/>
      </c>
    </row>
    <row r="30" spans="1:6" x14ac:dyDescent="0.2">
      <c r="A30" s="67">
        <v>28</v>
      </c>
      <c r="B30" s="67" t="str">
        <f>'Production Data-Table'!AH26</f>
        <v/>
      </c>
      <c r="C30" s="67" t="str">
        <f>'Production Data-Table'!F26</f>
        <v/>
      </c>
      <c r="D30" s="68" t="e">
        <f>'Production Data-Table'!K26-'Production Data-Table'!K25</f>
        <v>#VALUE!</v>
      </c>
      <c r="E30" s="67" t="str">
        <f>'Production Data-Table'!M26</f>
        <v/>
      </c>
      <c r="F30" s="67" t="str">
        <f>'Production Data-Table'!X26</f>
        <v/>
      </c>
    </row>
    <row r="31" spans="1:6" x14ac:dyDescent="0.2">
      <c r="A31" s="67">
        <v>29</v>
      </c>
      <c r="B31" s="67" t="str">
        <f>'Production Data-Table'!AH27</f>
        <v/>
      </c>
      <c r="C31" s="67" t="str">
        <f>'Production Data-Table'!F27</f>
        <v/>
      </c>
      <c r="D31" s="68" t="e">
        <f>'Production Data-Table'!K27-'Production Data-Table'!K26</f>
        <v>#VALUE!</v>
      </c>
      <c r="E31" s="67" t="str">
        <f>'Production Data-Table'!M27</f>
        <v/>
      </c>
      <c r="F31" s="67" t="str">
        <f>'Production Data-Table'!X27</f>
        <v/>
      </c>
    </row>
    <row r="32" spans="1:6" x14ac:dyDescent="0.2">
      <c r="A32" s="67">
        <v>30</v>
      </c>
      <c r="B32" s="67" t="str">
        <f>'Production Data-Table'!AH28</f>
        <v/>
      </c>
      <c r="C32" s="67" t="str">
        <f>'Production Data-Table'!F28</f>
        <v/>
      </c>
      <c r="D32" s="68" t="e">
        <f>'Production Data-Table'!K28-'Production Data-Table'!K27</f>
        <v>#VALUE!</v>
      </c>
      <c r="E32" s="67" t="str">
        <f>'Production Data-Table'!M28</f>
        <v/>
      </c>
      <c r="F32" s="67" t="str">
        <f>'Production Data-Table'!X28</f>
        <v/>
      </c>
    </row>
    <row r="33" spans="1:6" x14ac:dyDescent="0.2">
      <c r="A33" s="67">
        <v>31</v>
      </c>
      <c r="B33" s="67" t="str">
        <f>'Production Data-Table'!AH29</f>
        <v/>
      </c>
      <c r="C33" s="67" t="str">
        <f>'Production Data-Table'!F29</f>
        <v/>
      </c>
      <c r="D33" s="68" t="e">
        <f>'Production Data-Table'!K29-'Production Data-Table'!K28</f>
        <v>#VALUE!</v>
      </c>
      <c r="E33" s="67" t="str">
        <f>'Production Data-Table'!M29</f>
        <v/>
      </c>
      <c r="F33" s="67" t="str">
        <f>'Production Data-Table'!X29</f>
        <v/>
      </c>
    </row>
    <row r="34" spans="1:6" x14ac:dyDescent="0.2">
      <c r="A34" s="67">
        <v>32</v>
      </c>
      <c r="B34" s="67" t="str">
        <f>'Production Data-Table'!AH30</f>
        <v/>
      </c>
      <c r="C34" s="67" t="str">
        <f>'Production Data-Table'!F30</f>
        <v/>
      </c>
      <c r="D34" s="68" t="e">
        <f>'Production Data-Table'!K30-'Production Data-Table'!K29</f>
        <v>#VALUE!</v>
      </c>
      <c r="E34" s="67" t="str">
        <f>'Production Data-Table'!M30</f>
        <v/>
      </c>
      <c r="F34" s="67" t="str">
        <f>'Production Data-Table'!X30</f>
        <v/>
      </c>
    </row>
    <row r="35" spans="1:6" x14ac:dyDescent="0.2">
      <c r="A35" s="67">
        <v>33</v>
      </c>
      <c r="B35" s="67" t="str">
        <f>'Production Data-Table'!AH31</f>
        <v/>
      </c>
      <c r="C35" s="67" t="str">
        <f>'Production Data-Table'!F31</f>
        <v/>
      </c>
      <c r="D35" s="68" t="e">
        <f>'Production Data-Table'!K31-'Production Data-Table'!K30</f>
        <v>#VALUE!</v>
      </c>
      <c r="E35" s="67" t="str">
        <f>'Production Data-Table'!M31</f>
        <v/>
      </c>
      <c r="F35" s="67" t="str">
        <f>'Production Data-Table'!X31</f>
        <v/>
      </c>
    </row>
    <row r="36" spans="1:6" x14ac:dyDescent="0.2">
      <c r="A36" s="67">
        <v>34</v>
      </c>
      <c r="B36" s="67" t="str">
        <f>'Production Data-Table'!AH32</f>
        <v/>
      </c>
      <c r="C36" s="67" t="str">
        <f>'Production Data-Table'!F32</f>
        <v/>
      </c>
      <c r="D36" s="68" t="e">
        <f>'Production Data-Table'!K32-'Production Data-Table'!K31</f>
        <v>#VALUE!</v>
      </c>
      <c r="E36" s="67" t="str">
        <f>'Production Data-Table'!M32</f>
        <v/>
      </c>
      <c r="F36" s="67" t="str">
        <f>'Production Data-Table'!X32</f>
        <v/>
      </c>
    </row>
    <row r="37" spans="1:6" x14ac:dyDescent="0.2">
      <c r="A37" s="67">
        <v>35</v>
      </c>
      <c r="B37" s="67" t="str">
        <f>'Production Data-Table'!AH33</f>
        <v/>
      </c>
      <c r="C37" s="67" t="str">
        <f>'Production Data-Table'!F33</f>
        <v/>
      </c>
      <c r="D37" s="68" t="e">
        <f>'Production Data-Table'!K33-'Production Data-Table'!K32</f>
        <v>#VALUE!</v>
      </c>
      <c r="E37" s="67" t="str">
        <f>'Production Data-Table'!M33</f>
        <v/>
      </c>
      <c r="F37" s="67" t="str">
        <f>'Production Data-Table'!X33</f>
        <v/>
      </c>
    </row>
    <row r="38" spans="1:6" x14ac:dyDescent="0.2">
      <c r="A38" s="67">
        <v>36</v>
      </c>
      <c r="B38" s="67" t="str">
        <f>'Production Data-Table'!AH34</f>
        <v/>
      </c>
      <c r="C38" s="67" t="str">
        <f>'Production Data-Table'!F34</f>
        <v/>
      </c>
      <c r="D38" s="68" t="e">
        <f>'Production Data-Table'!K34-'Production Data-Table'!K33</f>
        <v>#VALUE!</v>
      </c>
      <c r="E38" s="67" t="str">
        <f>'Production Data-Table'!M34</f>
        <v/>
      </c>
      <c r="F38" s="67" t="str">
        <f>'Production Data-Table'!X34</f>
        <v/>
      </c>
    </row>
    <row r="39" spans="1:6" x14ac:dyDescent="0.2">
      <c r="A39" s="67">
        <v>37</v>
      </c>
      <c r="B39" s="67" t="str">
        <f>'Production Data-Table'!AH35</f>
        <v/>
      </c>
      <c r="C39" s="67" t="str">
        <f>'Production Data-Table'!F35</f>
        <v/>
      </c>
      <c r="D39" s="68" t="e">
        <f>'Production Data-Table'!K35-'Production Data-Table'!K34</f>
        <v>#VALUE!</v>
      </c>
      <c r="E39" s="67" t="str">
        <f>'Production Data-Table'!M35</f>
        <v/>
      </c>
      <c r="F39" s="67" t="str">
        <f>'Production Data-Table'!X35</f>
        <v/>
      </c>
    </row>
    <row r="40" spans="1:6" x14ac:dyDescent="0.2">
      <c r="A40" s="67">
        <v>38</v>
      </c>
      <c r="B40" s="67" t="str">
        <f>'Production Data-Table'!AH36</f>
        <v/>
      </c>
      <c r="C40" s="67" t="str">
        <f>'Production Data-Table'!F36</f>
        <v/>
      </c>
      <c r="D40" s="68" t="e">
        <f>'Production Data-Table'!K36-'Production Data-Table'!K35</f>
        <v>#VALUE!</v>
      </c>
      <c r="E40" s="67" t="str">
        <f>'Production Data-Table'!M36</f>
        <v/>
      </c>
      <c r="F40" s="67" t="str">
        <f>'Production Data-Table'!X36</f>
        <v/>
      </c>
    </row>
    <row r="41" spans="1:6" x14ac:dyDescent="0.2">
      <c r="A41" s="67">
        <v>39</v>
      </c>
      <c r="B41" s="67" t="str">
        <f>'Production Data-Table'!AH37</f>
        <v/>
      </c>
      <c r="C41" s="67" t="str">
        <f>'Production Data-Table'!F37</f>
        <v/>
      </c>
      <c r="D41" s="68" t="e">
        <f>'Production Data-Table'!K37-'Production Data-Table'!K36</f>
        <v>#VALUE!</v>
      </c>
      <c r="E41" s="67" t="str">
        <f>'Production Data-Table'!M37</f>
        <v/>
      </c>
      <c r="F41" s="67" t="str">
        <f>'Production Data-Table'!X37</f>
        <v/>
      </c>
    </row>
    <row r="42" spans="1:6" x14ac:dyDescent="0.2">
      <c r="A42" s="67">
        <v>40</v>
      </c>
      <c r="B42" s="67" t="str">
        <f>'Production Data-Table'!AH38</f>
        <v/>
      </c>
      <c r="C42" s="67" t="str">
        <f>'Production Data-Table'!F38</f>
        <v/>
      </c>
      <c r="D42" s="68" t="e">
        <f>'Production Data-Table'!K38-'Production Data-Table'!K37</f>
        <v>#VALUE!</v>
      </c>
      <c r="E42" s="67" t="str">
        <f>'Production Data-Table'!M38</f>
        <v/>
      </c>
      <c r="F42" s="67" t="str">
        <f>'Production Data-Table'!X38</f>
        <v/>
      </c>
    </row>
    <row r="43" spans="1:6" x14ac:dyDescent="0.2">
      <c r="A43" s="67">
        <v>41</v>
      </c>
      <c r="B43" s="67" t="str">
        <f>'Production Data-Table'!AH39</f>
        <v/>
      </c>
      <c r="C43" s="67" t="str">
        <f>'Production Data-Table'!F39</f>
        <v/>
      </c>
      <c r="D43" s="68" t="e">
        <f>'Production Data-Table'!K39-'Production Data-Table'!K38</f>
        <v>#VALUE!</v>
      </c>
      <c r="E43" s="67" t="str">
        <f>'Production Data-Table'!M39</f>
        <v/>
      </c>
      <c r="F43" s="67" t="str">
        <f>'Production Data-Table'!X39</f>
        <v/>
      </c>
    </row>
    <row r="44" spans="1:6" x14ac:dyDescent="0.2">
      <c r="A44" s="67">
        <v>42</v>
      </c>
      <c r="B44" s="67" t="str">
        <f>'Production Data-Table'!AH40</f>
        <v/>
      </c>
      <c r="C44" s="67" t="str">
        <f>'Production Data-Table'!F40</f>
        <v/>
      </c>
      <c r="D44" s="68" t="e">
        <f>'Production Data-Table'!K40-'Production Data-Table'!K39</f>
        <v>#VALUE!</v>
      </c>
      <c r="E44" s="67" t="str">
        <f>'Production Data-Table'!M40</f>
        <v/>
      </c>
      <c r="F44" s="67" t="str">
        <f>'Production Data-Table'!X40</f>
        <v/>
      </c>
    </row>
    <row r="45" spans="1:6" x14ac:dyDescent="0.2">
      <c r="A45" s="67">
        <v>43</v>
      </c>
      <c r="B45" s="67" t="str">
        <f>'Production Data-Table'!AH41</f>
        <v/>
      </c>
      <c r="C45" s="67" t="str">
        <f>'Production Data-Table'!F41</f>
        <v/>
      </c>
      <c r="D45" s="68" t="e">
        <f>'Production Data-Table'!K41-'Production Data-Table'!K40</f>
        <v>#VALUE!</v>
      </c>
      <c r="E45" s="67" t="str">
        <f>'Production Data-Table'!M41</f>
        <v/>
      </c>
      <c r="F45" s="67" t="str">
        <f>'Production Data-Table'!X41</f>
        <v/>
      </c>
    </row>
    <row r="46" spans="1:6" x14ac:dyDescent="0.2">
      <c r="A46" s="67">
        <v>44</v>
      </c>
      <c r="B46" s="67" t="str">
        <f>'Production Data-Table'!AH42</f>
        <v/>
      </c>
      <c r="C46" s="67" t="str">
        <f>'Production Data-Table'!F42</f>
        <v/>
      </c>
      <c r="D46" s="68" t="e">
        <f>'Production Data-Table'!K42-'Production Data-Table'!K41</f>
        <v>#VALUE!</v>
      </c>
      <c r="E46" s="67" t="str">
        <f>'Production Data-Table'!M42</f>
        <v/>
      </c>
      <c r="F46" s="67" t="str">
        <f>'Production Data-Table'!X42</f>
        <v/>
      </c>
    </row>
    <row r="47" spans="1:6" x14ac:dyDescent="0.2">
      <c r="A47" s="67">
        <v>45</v>
      </c>
      <c r="B47" s="67" t="str">
        <f>'Production Data-Table'!AH43</f>
        <v/>
      </c>
      <c r="C47" s="67" t="str">
        <f>'Production Data-Table'!F43</f>
        <v/>
      </c>
      <c r="D47" s="68" t="e">
        <f>'Production Data-Table'!K43-'Production Data-Table'!K42</f>
        <v>#VALUE!</v>
      </c>
      <c r="E47" s="67" t="str">
        <f>'Production Data-Table'!M43</f>
        <v/>
      </c>
      <c r="F47" s="67" t="str">
        <f>'Production Data-Table'!X43</f>
        <v/>
      </c>
    </row>
    <row r="48" spans="1:6" x14ac:dyDescent="0.2">
      <c r="A48" s="67">
        <v>46</v>
      </c>
      <c r="B48" s="67" t="str">
        <f>'Production Data-Table'!AH44</f>
        <v/>
      </c>
      <c r="C48" s="67" t="str">
        <f>'Production Data-Table'!F44</f>
        <v/>
      </c>
      <c r="D48" s="68" t="e">
        <f>'Production Data-Table'!K44-'Production Data-Table'!K43</f>
        <v>#VALUE!</v>
      </c>
      <c r="E48" s="67" t="str">
        <f>'Production Data-Table'!M44</f>
        <v/>
      </c>
      <c r="F48" s="67" t="str">
        <f>'Production Data-Table'!X44</f>
        <v/>
      </c>
    </row>
    <row r="49" spans="1:6" x14ac:dyDescent="0.2">
      <c r="A49" s="67">
        <v>47</v>
      </c>
      <c r="B49" s="67" t="str">
        <f>'Production Data-Table'!AH45</f>
        <v/>
      </c>
      <c r="C49" s="67" t="str">
        <f>'Production Data-Table'!F45</f>
        <v/>
      </c>
      <c r="D49" s="68" t="e">
        <f>'Production Data-Table'!K45-'Production Data-Table'!K44</f>
        <v>#VALUE!</v>
      </c>
      <c r="E49" s="67" t="str">
        <f>'Production Data-Table'!M45</f>
        <v/>
      </c>
      <c r="F49" s="67" t="str">
        <f>'Production Data-Table'!X45</f>
        <v/>
      </c>
    </row>
    <row r="50" spans="1:6" x14ac:dyDescent="0.2">
      <c r="A50" s="67">
        <v>48</v>
      </c>
      <c r="B50" s="67" t="str">
        <f>'Production Data-Table'!AH46</f>
        <v/>
      </c>
      <c r="C50" s="67" t="str">
        <f>'Production Data-Table'!F46</f>
        <v/>
      </c>
      <c r="D50" s="68" t="e">
        <f>'Production Data-Table'!K46-'Production Data-Table'!K45</f>
        <v>#VALUE!</v>
      </c>
      <c r="E50" s="67" t="str">
        <f>'Production Data-Table'!M46</f>
        <v/>
      </c>
      <c r="F50" s="67" t="str">
        <f>'Production Data-Table'!X46</f>
        <v/>
      </c>
    </row>
    <row r="51" spans="1:6" x14ac:dyDescent="0.2">
      <c r="A51" s="67">
        <v>49</v>
      </c>
      <c r="B51" s="67" t="str">
        <f>'Production Data-Table'!AH47</f>
        <v/>
      </c>
      <c r="C51" s="67" t="str">
        <f>'Production Data-Table'!F47</f>
        <v/>
      </c>
      <c r="D51" s="68" t="e">
        <f>'Production Data-Table'!K47-'Production Data-Table'!K46</f>
        <v>#VALUE!</v>
      </c>
      <c r="E51" s="67" t="str">
        <f>'Production Data-Table'!M47</f>
        <v/>
      </c>
      <c r="F51" s="67" t="str">
        <f>'Production Data-Table'!X47</f>
        <v/>
      </c>
    </row>
    <row r="52" spans="1:6" x14ac:dyDescent="0.2">
      <c r="A52" s="67">
        <v>50</v>
      </c>
      <c r="B52" s="67" t="str">
        <f>'Production Data-Table'!AH48</f>
        <v/>
      </c>
      <c r="C52" s="67" t="str">
        <f>'Production Data-Table'!F48</f>
        <v/>
      </c>
      <c r="D52" s="68" t="e">
        <f>'Production Data-Table'!K48-'Production Data-Table'!K47</f>
        <v>#VALUE!</v>
      </c>
      <c r="E52" s="67" t="str">
        <f>'Production Data-Table'!M48</f>
        <v/>
      </c>
      <c r="F52" s="67" t="str">
        <f>'Production Data-Table'!X48</f>
        <v/>
      </c>
    </row>
    <row r="53" spans="1:6" x14ac:dyDescent="0.2">
      <c r="A53" s="67">
        <v>51</v>
      </c>
      <c r="B53" s="67" t="str">
        <f>'Production Data-Table'!AH49</f>
        <v/>
      </c>
      <c r="C53" s="67" t="str">
        <f>'Production Data-Table'!F49</f>
        <v/>
      </c>
      <c r="D53" s="68" t="e">
        <f>'Production Data-Table'!K49-'Production Data-Table'!K48</f>
        <v>#VALUE!</v>
      </c>
      <c r="E53" s="67" t="str">
        <f>'Production Data-Table'!M49</f>
        <v/>
      </c>
      <c r="F53" s="67" t="str">
        <f>'Production Data-Table'!X49</f>
        <v/>
      </c>
    </row>
    <row r="54" spans="1:6" x14ac:dyDescent="0.2">
      <c r="A54" s="67">
        <v>52</v>
      </c>
      <c r="B54" s="67" t="str">
        <f>'Production Data-Table'!AH50</f>
        <v/>
      </c>
      <c r="C54" s="67" t="str">
        <f>'Production Data-Table'!F50</f>
        <v/>
      </c>
      <c r="D54" s="68" t="e">
        <f>'Production Data-Table'!K50-'Production Data-Table'!K49</f>
        <v>#VALUE!</v>
      </c>
      <c r="E54" s="67" t="str">
        <f>'Production Data-Table'!M50</f>
        <v/>
      </c>
      <c r="F54" s="67" t="str">
        <f>'Production Data-Table'!X50</f>
        <v/>
      </c>
    </row>
    <row r="55" spans="1:6" x14ac:dyDescent="0.2">
      <c r="A55" s="67">
        <v>53</v>
      </c>
      <c r="B55" s="67" t="str">
        <f>'Production Data-Table'!AH51</f>
        <v/>
      </c>
      <c r="C55" s="67" t="str">
        <f>'Production Data-Table'!F51</f>
        <v/>
      </c>
      <c r="D55" s="68" t="e">
        <f>'Production Data-Table'!K51-'Production Data-Table'!K50</f>
        <v>#VALUE!</v>
      </c>
      <c r="E55" s="67" t="str">
        <f>'Production Data-Table'!M51</f>
        <v/>
      </c>
      <c r="F55" s="67" t="str">
        <f>'Production Data-Table'!X51</f>
        <v/>
      </c>
    </row>
    <row r="56" spans="1:6" x14ac:dyDescent="0.2">
      <c r="A56" s="67">
        <v>54</v>
      </c>
      <c r="B56" s="67" t="str">
        <f>'Production Data-Table'!AH52</f>
        <v/>
      </c>
      <c r="C56" s="67" t="str">
        <f>'Production Data-Table'!F52</f>
        <v/>
      </c>
      <c r="D56" s="68" t="e">
        <f>'Production Data-Table'!K52-'Production Data-Table'!K51</f>
        <v>#VALUE!</v>
      </c>
      <c r="E56" s="67" t="str">
        <f>'Production Data-Table'!M52</f>
        <v/>
      </c>
      <c r="F56" s="67" t="str">
        <f>'Production Data-Table'!X52</f>
        <v/>
      </c>
    </row>
    <row r="57" spans="1:6" x14ac:dyDescent="0.2">
      <c r="A57" s="67">
        <v>55</v>
      </c>
      <c r="B57" s="67" t="str">
        <f>'Production Data-Table'!AH53</f>
        <v/>
      </c>
      <c r="C57" s="67" t="str">
        <f>'Production Data-Table'!F53</f>
        <v/>
      </c>
      <c r="D57" s="68" t="e">
        <f>'Production Data-Table'!K53-'Production Data-Table'!K52</f>
        <v>#VALUE!</v>
      </c>
      <c r="E57" s="67" t="str">
        <f>'Production Data-Table'!M53</f>
        <v/>
      </c>
      <c r="F57" s="67" t="str">
        <f>'Production Data-Table'!X53</f>
        <v/>
      </c>
    </row>
    <row r="58" spans="1:6" x14ac:dyDescent="0.2">
      <c r="A58" s="67">
        <v>56</v>
      </c>
      <c r="B58" s="67" t="str">
        <f>'Production Data-Table'!AH54</f>
        <v/>
      </c>
      <c r="C58" s="67" t="str">
        <f>'Production Data-Table'!F54</f>
        <v/>
      </c>
      <c r="D58" s="68" t="e">
        <f>'Production Data-Table'!K54-'Production Data-Table'!K53</f>
        <v>#VALUE!</v>
      </c>
      <c r="E58" s="67" t="str">
        <f>'Production Data-Table'!M54</f>
        <v/>
      </c>
      <c r="F58" s="67" t="str">
        <f>'Production Data-Table'!X54</f>
        <v/>
      </c>
    </row>
    <row r="59" spans="1:6" x14ac:dyDescent="0.2">
      <c r="A59" s="67">
        <v>57</v>
      </c>
      <c r="B59" s="67" t="str">
        <f>'Production Data-Table'!AH55</f>
        <v/>
      </c>
      <c r="C59" s="67" t="str">
        <f>'Production Data-Table'!F55</f>
        <v/>
      </c>
      <c r="D59" s="68" t="e">
        <f>'Production Data-Table'!K55-'Production Data-Table'!K54</f>
        <v>#VALUE!</v>
      </c>
      <c r="E59" s="67" t="str">
        <f>'Production Data-Table'!M55</f>
        <v/>
      </c>
      <c r="F59" s="67" t="str">
        <f>'Production Data-Table'!X55</f>
        <v/>
      </c>
    </row>
    <row r="60" spans="1:6" x14ac:dyDescent="0.2">
      <c r="A60" s="67">
        <v>58</v>
      </c>
      <c r="B60" s="67" t="str">
        <f>'Production Data-Table'!AH56</f>
        <v/>
      </c>
      <c r="C60" s="67" t="str">
        <f>'Production Data-Table'!F56</f>
        <v/>
      </c>
      <c r="D60" s="68" t="e">
        <f>'Production Data-Table'!K56-'Production Data-Table'!K55</f>
        <v>#VALUE!</v>
      </c>
      <c r="E60" s="67" t="str">
        <f>'Production Data-Table'!M56</f>
        <v/>
      </c>
      <c r="F60" s="67" t="str">
        <f>'Production Data-Table'!X56</f>
        <v/>
      </c>
    </row>
    <row r="61" spans="1:6" x14ac:dyDescent="0.2">
      <c r="A61" s="67">
        <v>59</v>
      </c>
      <c r="B61" s="67" t="str">
        <f>'Production Data-Table'!AH57</f>
        <v/>
      </c>
      <c r="C61" s="67" t="str">
        <f>'Production Data-Table'!F57</f>
        <v/>
      </c>
      <c r="D61" s="68" t="e">
        <f>'Production Data-Table'!K57-'Production Data-Table'!K56</f>
        <v>#VALUE!</v>
      </c>
      <c r="E61" s="67" t="str">
        <f>'Production Data-Table'!M57</f>
        <v/>
      </c>
      <c r="F61" s="67" t="str">
        <f>'Production Data-Table'!X57</f>
        <v/>
      </c>
    </row>
    <row r="62" spans="1:6" x14ac:dyDescent="0.2">
      <c r="A62" s="67">
        <v>60</v>
      </c>
      <c r="B62" s="67" t="str">
        <f>'Production Data-Table'!AH58</f>
        <v/>
      </c>
      <c r="C62" s="67" t="str">
        <f>'Production Data-Table'!F58</f>
        <v/>
      </c>
      <c r="D62" s="68" t="e">
        <f>'Production Data-Table'!K58-'Production Data-Table'!K57</f>
        <v>#VALUE!</v>
      </c>
      <c r="E62" s="67" t="str">
        <f>'Production Data-Table'!M58</f>
        <v/>
      </c>
      <c r="F62" s="67" t="str">
        <f>'Production Data-Table'!X58</f>
        <v/>
      </c>
    </row>
    <row r="63" spans="1:6" x14ac:dyDescent="0.2">
      <c r="A63" s="67">
        <v>61</v>
      </c>
      <c r="B63" s="67" t="str">
        <f>'Production Data-Table'!AH59</f>
        <v/>
      </c>
      <c r="C63" s="67" t="str">
        <f>'Production Data-Table'!F59</f>
        <v/>
      </c>
      <c r="D63" s="68" t="e">
        <f>'Production Data-Table'!K59-'Production Data-Table'!K58</f>
        <v>#VALUE!</v>
      </c>
      <c r="E63" s="67" t="str">
        <f>'Production Data-Table'!M59</f>
        <v/>
      </c>
      <c r="F63" s="67" t="str">
        <f>'Production Data-Table'!X59</f>
        <v/>
      </c>
    </row>
    <row r="64" spans="1:6" x14ac:dyDescent="0.2">
      <c r="A64" s="67">
        <v>62</v>
      </c>
      <c r="B64" s="67" t="str">
        <f>'Production Data-Table'!AH60</f>
        <v/>
      </c>
      <c r="C64" s="67" t="str">
        <f>'Production Data-Table'!F60</f>
        <v/>
      </c>
      <c r="D64" s="68" t="e">
        <f>'Production Data-Table'!K60-'Production Data-Table'!K59</f>
        <v>#VALUE!</v>
      </c>
      <c r="E64" s="67" t="str">
        <f>'Production Data-Table'!M60</f>
        <v/>
      </c>
      <c r="F64" s="67" t="str">
        <f>'Production Data-Table'!X60</f>
        <v/>
      </c>
    </row>
    <row r="65" spans="1:6" x14ac:dyDescent="0.2">
      <c r="A65" s="67">
        <v>63</v>
      </c>
      <c r="B65" s="67" t="str">
        <f>'Production Data-Table'!AH61</f>
        <v/>
      </c>
      <c r="C65" s="67" t="str">
        <f>'Production Data-Table'!F61</f>
        <v/>
      </c>
      <c r="D65" s="68" t="e">
        <f>'Production Data-Table'!K61-'Production Data-Table'!K60</f>
        <v>#VALUE!</v>
      </c>
      <c r="E65" s="67" t="str">
        <f>'Production Data-Table'!M61</f>
        <v/>
      </c>
      <c r="F65" s="67" t="str">
        <f>'Production Data-Table'!X61</f>
        <v/>
      </c>
    </row>
    <row r="66" spans="1:6" x14ac:dyDescent="0.2">
      <c r="A66" s="67">
        <v>64</v>
      </c>
      <c r="B66" s="67" t="str">
        <f>'Production Data-Table'!AH62</f>
        <v/>
      </c>
      <c r="C66" s="67" t="str">
        <f>'Production Data-Table'!F62</f>
        <v/>
      </c>
      <c r="D66" s="68" t="e">
        <f>'Production Data-Table'!K62-'Production Data-Table'!K61</f>
        <v>#VALUE!</v>
      </c>
      <c r="E66" s="67" t="str">
        <f>'Production Data-Table'!M62</f>
        <v/>
      </c>
      <c r="F66" s="67" t="str">
        <f>'Production Data-Table'!X62</f>
        <v/>
      </c>
    </row>
    <row r="67" spans="1:6" x14ac:dyDescent="0.2">
      <c r="A67" s="67">
        <v>65</v>
      </c>
      <c r="B67" s="67" t="str">
        <f>'Production Data-Table'!AH63</f>
        <v/>
      </c>
      <c r="C67" s="67" t="str">
        <f>'Production Data-Table'!F63</f>
        <v/>
      </c>
      <c r="D67" s="68" t="e">
        <f>'Production Data-Table'!K63-'Production Data-Table'!K62</f>
        <v>#VALUE!</v>
      </c>
      <c r="E67" s="67" t="str">
        <f>'Production Data-Table'!M63</f>
        <v/>
      </c>
      <c r="F67" s="67" t="str">
        <f>'Production Data-Table'!X63</f>
        <v/>
      </c>
    </row>
    <row r="68" spans="1:6" x14ac:dyDescent="0.2">
      <c r="A68" s="67">
        <v>66</v>
      </c>
      <c r="B68" s="67" t="str">
        <f>'Production Data-Table'!AH64</f>
        <v/>
      </c>
      <c r="C68" s="67" t="str">
        <f>'Production Data-Table'!F64</f>
        <v/>
      </c>
      <c r="D68" s="68" t="e">
        <f>'Production Data-Table'!K64-'Production Data-Table'!K63</f>
        <v>#VALUE!</v>
      </c>
      <c r="E68" s="67" t="str">
        <f>'Production Data-Table'!M64</f>
        <v/>
      </c>
      <c r="F68" s="67" t="str">
        <f>'Production Data-Table'!X64</f>
        <v/>
      </c>
    </row>
    <row r="69" spans="1:6" x14ac:dyDescent="0.2">
      <c r="A69" s="67">
        <v>67</v>
      </c>
      <c r="B69" s="67" t="str">
        <f>'Production Data-Table'!AH65</f>
        <v/>
      </c>
      <c r="C69" s="67" t="str">
        <f>'Production Data-Table'!F65</f>
        <v/>
      </c>
      <c r="D69" s="68" t="e">
        <f>'Production Data-Table'!K65-'Production Data-Table'!K64</f>
        <v>#VALUE!</v>
      </c>
      <c r="E69" s="67" t="str">
        <f>'Production Data-Table'!M65</f>
        <v/>
      </c>
      <c r="F69" s="67" t="str">
        <f>'Production Data-Table'!X65</f>
        <v/>
      </c>
    </row>
    <row r="70" spans="1:6" x14ac:dyDescent="0.2">
      <c r="A70" s="67">
        <v>68</v>
      </c>
      <c r="B70" s="67" t="str">
        <f>'Production Data-Table'!AH66</f>
        <v/>
      </c>
      <c r="C70" s="67" t="str">
        <f>'Production Data-Table'!F66</f>
        <v/>
      </c>
      <c r="D70" s="68" t="e">
        <f>'Production Data-Table'!K66-'Production Data-Table'!K65</f>
        <v>#VALUE!</v>
      </c>
      <c r="E70" s="67" t="str">
        <f>'Production Data-Table'!M66</f>
        <v/>
      </c>
      <c r="F70" s="67" t="str">
        <f>'Production Data-Table'!X66</f>
        <v/>
      </c>
    </row>
    <row r="71" spans="1:6" x14ac:dyDescent="0.2">
      <c r="A71" s="67">
        <v>69</v>
      </c>
      <c r="B71" s="67" t="str">
        <f>'Production Data-Table'!AH67</f>
        <v/>
      </c>
      <c r="C71" s="67" t="str">
        <f>'Production Data-Table'!F67</f>
        <v/>
      </c>
      <c r="D71" s="68" t="e">
        <f>'Production Data-Table'!K67-'Production Data-Table'!K66</f>
        <v>#VALUE!</v>
      </c>
      <c r="E71" s="67" t="str">
        <f>'Production Data-Table'!M67</f>
        <v/>
      </c>
      <c r="F71" s="67" t="str">
        <f>'Production Data-Table'!X67</f>
        <v/>
      </c>
    </row>
    <row r="72" spans="1:6" x14ac:dyDescent="0.2">
      <c r="A72" s="67">
        <v>70</v>
      </c>
      <c r="B72" s="67" t="str">
        <f>'Production Data-Table'!AH68</f>
        <v/>
      </c>
      <c r="C72" s="67" t="str">
        <f>'Production Data-Table'!F68</f>
        <v/>
      </c>
      <c r="D72" s="68" t="e">
        <f>'Production Data-Table'!K68-'Production Data-Table'!K67</f>
        <v>#VALUE!</v>
      </c>
      <c r="E72" s="67" t="str">
        <f>'Production Data-Table'!M68</f>
        <v/>
      </c>
      <c r="F72" s="67" t="str">
        <f>'Production Data-Table'!X68</f>
        <v/>
      </c>
    </row>
    <row r="73" spans="1:6" x14ac:dyDescent="0.2">
      <c r="A73" s="67">
        <v>71</v>
      </c>
      <c r="B73" s="67" t="str">
        <f>'Production Data-Table'!AH69</f>
        <v/>
      </c>
      <c r="C73" s="67" t="str">
        <f>'Production Data-Table'!F69</f>
        <v/>
      </c>
      <c r="D73" s="68" t="e">
        <f>'Production Data-Table'!K69-'Production Data-Table'!K68</f>
        <v>#VALUE!</v>
      </c>
      <c r="E73" s="67" t="str">
        <f>'Production Data-Table'!M69</f>
        <v/>
      </c>
      <c r="F73" s="67" t="str">
        <f>'Production Data-Table'!X69</f>
        <v/>
      </c>
    </row>
    <row r="74" spans="1:6" x14ac:dyDescent="0.2">
      <c r="A74" s="67">
        <v>72</v>
      </c>
      <c r="B74" s="67" t="str">
        <f>'Production Data-Table'!AH70</f>
        <v/>
      </c>
      <c r="C74" s="67" t="str">
        <f>'Production Data-Table'!F70</f>
        <v/>
      </c>
      <c r="D74" s="68" t="e">
        <f>'Production Data-Table'!K70-'Production Data-Table'!K69</f>
        <v>#VALUE!</v>
      </c>
      <c r="E74" s="67" t="str">
        <f>'Production Data-Table'!M70</f>
        <v/>
      </c>
      <c r="F74" s="67" t="str">
        <f>'Production Data-Table'!X70</f>
        <v/>
      </c>
    </row>
    <row r="75" spans="1:6" x14ac:dyDescent="0.2">
      <c r="A75" s="67">
        <v>73</v>
      </c>
      <c r="B75" s="67" t="str">
        <f>'Production Data-Table'!AH71</f>
        <v/>
      </c>
      <c r="C75" s="67" t="str">
        <f>'Production Data-Table'!F71</f>
        <v/>
      </c>
      <c r="D75" s="68" t="e">
        <f>'Production Data-Table'!K71-'Production Data-Table'!K70</f>
        <v>#VALUE!</v>
      </c>
      <c r="E75" s="67" t="str">
        <f>'Production Data-Table'!M71</f>
        <v/>
      </c>
      <c r="F75" s="67" t="str">
        <f>'Production Data-Table'!X71</f>
        <v/>
      </c>
    </row>
    <row r="76" spans="1:6" x14ac:dyDescent="0.2">
      <c r="A76" s="67">
        <v>74</v>
      </c>
      <c r="B76" s="67" t="str">
        <f>'Production Data-Table'!AH72</f>
        <v/>
      </c>
      <c r="C76" s="67" t="str">
        <f>'Production Data-Table'!F72</f>
        <v/>
      </c>
      <c r="D76" s="68" t="e">
        <f>'Production Data-Table'!K72-'Production Data-Table'!K71</f>
        <v>#VALUE!</v>
      </c>
      <c r="E76" s="67" t="str">
        <f>'Production Data-Table'!M72</f>
        <v/>
      </c>
      <c r="F76" s="67" t="str">
        <f>'Production Data-Table'!X72</f>
        <v/>
      </c>
    </row>
    <row r="77" spans="1:6" x14ac:dyDescent="0.2">
      <c r="A77" s="67">
        <v>75</v>
      </c>
      <c r="B77" s="67" t="str">
        <f>'Production Data-Table'!AH73</f>
        <v/>
      </c>
      <c r="C77" s="67" t="str">
        <f>'Production Data-Table'!F73</f>
        <v/>
      </c>
      <c r="D77" s="68" t="e">
        <f>'Production Data-Table'!K73-'Production Data-Table'!K72</f>
        <v>#VALUE!</v>
      </c>
      <c r="E77" s="67" t="str">
        <f>'Production Data-Table'!M73</f>
        <v/>
      </c>
      <c r="F77" s="67" t="str">
        <f>'Production Data-Table'!X73</f>
        <v/>
      </c>
    </row>
    <row r="78" spans="1:6" x14ac:dyDescent="0.2">
      <c r="A78" s="67">
        <v>76</v>
      </c>
      <c r="B78" s="67" t="str">
        <f>'Production Data-Table'!AH74</f>
        <v/>
      </c>
      <c r="C78" s="67" t="str">
        <f>'Production Data-Table'!F74</f>
        <v/>
      </c>
      <c r="D78" s="68" t="e">
        <f>'Production Data-Table'!K74-'Production Data-Table'!K73</f>
        <v>#VALUE!</v>
      </c>
      <c r="E78" s="67" t="str">
        <f>'Production Data-Table'!M74</f>
        <v/>
      </c>
      <c r="F78" s="67" t="str">
        <f>'Production Data-Table'!X74</f>
        <v/>
      </c>
    </row>
    <row r="79" spans="1:6" x14ac:dyDescent="0.2">
      <c r="A79" s="67">
        <v>77</v>
      </c>
      <c r="B79" s="67" t="str">
        <f>'Production Data-Table'!AH75</f>
        <v/>
      </c>
      <c r="C79" s="67" t="str">
        <f>'Production Data-Table'!F75</f>
        <v/>
      </c>
      <c r="D79" s="68" t="e">
        <f>'Production Data-Table'!K75-'Production Data-Table'!K74</f>
        <v>#VALUE!</v>
      </c>
      <c r="E79" s="67" t="str">
        <f>'Production Data-Table'!M75</f>
        <v/>
      </c>
      <c r="F79" s="67" t="str">
        <f>'Production Data-Table'!X75</f>
        <v/>
      </c>
    </row>
    <row r="80" spans="1:6" x14ac:dyDescent="0.2">
      <c r="A80" s="67">
        <v>78</v>
      </c>
      <c r="B80" s="67" t="str">
        <f>'Production Data-Table'!AH76</f>
        <v/>
      </c>
      <c r="C80" s="67" t="str">
        <f>'Production Data-Table'!F76</f>
        <v/>
      </c>
      <c r="D80" s="68" t="e">
        <f>'Production Data-Table'!K76-'Production Data-Table'!K75</f>
        <v>#VALUE!</v>
      </c>
      <c r="E80" s="67" t="str">
        <f>'Production Data-Table'!M76</f>
        <v/>
      </c>
      <c r="F80" s="67" t="str">
        <f>'Production Data-Table'!X76</f>
        <v/>
      </c>
    </row>
    <row r="81" spans="1:6" x14ac:dyDescent="0.2">
      <c r="A81" s="67">
        <v>79</v>
      </c>
      <c r="B81" s="67" t="str">
        <f>'Production Data-Table'!AH77</f>
        <v/>
      </c>
      <c r="C81" s="67" t="str">
        <f>'Production Data-Table'!F77</f>
        <v/>
      </c>
      <c r="D81" s="68" t="e">
        <f>'Production Data-Table'!K77-'Production Data-Table'!K76</f>
        <v>#VALUE!</v>
      </c>
      <c r="E81" s="67" t="str">
        <f>'Production Data-Table'!M77</f>
        <v/>
      </c>
      <c r="F81" s="67" t="str">
        <f>'Production Data-Table'!X77</f>
        <v/>
      </c>
    </row>
    <row r="82" spans="1:6" x14ac:dyDescent="0.2">
      <c r="A82" s="67">
        <v>80</v>
      </c>
      <c r="B82" s="67" t="str">
        <f>'Production Data-Table'!AH78</f>
        <v/>
      </c>
      <c r="C82" s="67" t="str">
        <f>'Production Data-Table'!F78</f>
        <v/>
      </c>
      <c r="D82" s="68" t="e">
        <f>'Production Data-Table'!K78-'Production Data-Table'!K77</f>
        <v>#VALUE!</v>
      </c>
      <c r="E82" s="67" t="str">
        <f>'Production Data-Table'!M78</f>
        <v/>
      </c>
      <c r="F82" s="67" t="str">
        <f>'Production Data-Table'!X78</f>
        <v/>
      </c>
    </row>
    <row r="83" spans="1:6" x14ac:dyDescent="0.2">
      <c r="A83" s="67">
        <v>81</v>
      </c>
      <c r="B83" s="67" t="str">
        <f>'Production Data-Table'!AH79</f>
        <v/>
      </c>
      <c r="C83" s="67" t="str">
        <f>'Production Data-Table'!F79</f>
        <v/>
      </c>
      <c r="D83" s="68" t="e">
        <f>'Production Data-Table'!K79-'Production Data-Table'!K78</f>
        <v>#VALUE!</v>
      </c>
      <c r="E83" s="67" t="str">
        <f>'Production Data-Table'!M79</f>
        <v/>
      </c>
      <c r="F83" s="67" t="str">
        <f>'Production Data-Table'!X79</f>
        <v/>
      </c>
    </row>
    <row r="84" spans="1:6" x14ac:dyDescent="0.2">
      <c r="A84" s="67">
        <v>82</v>
      </c>
      <c r="B84" s="67" t="str">
        <f>'Production Data-Table'!AH80</f>
        <v/>
      </c>
      <c r="C84" s="67" t="str">
        <f>'Production Data-Table'!F80</f>
        <v/>
      </c>
      <c r="D84" s="68" t="e">
        <f>'Production Data-Table'!K80-'Production Data-Table'!K79</f>
        <v>#VALUE!</v>
      </c>
      <c r="E84" s="67" t="str">
        <f>'Production Data-Table'!M80</f>
        <v/>
      </c>
      <c r="F84" s="67" t="str">
        <f>'Production Data-Table'!X80</f>
        <v/>
      </c>
    </row>
    <row r="85" spans="1:6" x14ac:dyDescent="0.2">
      <c r="A85" s="67">
        <v>83</v>
      </c>
      <c r="B85" s="67" t="str">
        <f>'Production Data-Table'!AH81</f>
        <v/>
      </c>
      <c r="C85" s="67" t="str">
        <f>'Production Data-Table'!F81</f>
        <v/>
      </c>
      <c r="D85" s="68" t="e">
        <f>'Production Data-Table'!K81-'Production Data-Table'!K80</f>
        <v>#VALUE!</v>
      </c>
      <c r="E85" s="67" t="str">
        <f>'Production Data-Table'!M81</f>
        <v/>
      </c>
      <c r="F85" s="67" t="str">
        <f>'Production Data-Table'!X81</f>
        <v/>
      </c>
    </row>
    <row r="86" spans="1:6" x14ac:dyDescent="0.2">
      <c r="A86" s="67">
        <v>84</v>
      </c>
      <c r="B86" s="67" t="str">
        <f>'Production Data-Table'!AH82</f>
        <v/>
      </c>
      <c r="C86" s="67" t="str">
        <f>'Production Data-Table'!F82</f>
        <v/>
      </c>
      <c r="D86" s="68" t="e">
        <f>'Production Data-Table'!K82-'Production Data-Table'!K81</f>
        <v>#VALUE!</v>
      </c>
      <c r="E86" s="67" t="str">
        <f>'Production Data-Table'!M82</f>
        <v/>
      </c>
      <c r="F86" s="67" t="str">
        <f>'Production Data-Table'!X82</f>
        <v/>
      </c>
    </row>
    <row r="87" spans="1:6" x14ac:dyDescent="0.2">
      <c r="A87" s="67">
        <v>85</v>
      </c>
      <c r="B87" s="67" t="str">
        <f>'Production Data-Table'!AH83</f>
        <v/>
      </c>
      <c r="C87" s="67" t="str">
        <f>'Production Data-Table'!F83</f>
        <v/>
      </c>
      <c r="D87" s="68" t="e">
        <f>'Production Data-Table'!K83-'Production Data-Table'!K82</f>
        <v>#VALUE!</v>
      </c>
      <c r="E87" s="67" t="str">
        <f>'Production Data-Table'!M83</f>
        <v/>
      </c>
      <c r="F87" s="67" t="str">
        <f>'Production Data-Table'!X83</f>
        <v/>
      </c>
    </row>
    <row r="88" spans="1:6" x14ac:dyDescent="0.2">
      <c r="A88" s="67">
        <v>86</v>
      </c>
      <c r="B88" s="67" t="str">
        <f>'Production Data-Table'!AH84</f>
        <v/>
      </c>
      <c r="C88" s="67" t="str">
        <f>'Production Data-Table'!F84</f>
        <v/>
      </c>
      <c r="D88" s="68" t="e">
        <f>'Production Data-Table'!K84-'Production Data-Table'!K83</f>
        <v>#VALUE!</v>
      </c>
      <c r="E88" s="67" t="str">
        <f>'Production Data-Table'!M84</f>
        <v/>
      </c>
      <c r="F88" s="67" t="str">
        <f>'Production Data-Table'!X84</f>
        <v/>
      </c>
    </row>
    <row r="89" spans="1:6" x14ac:dyDescent="0.2">
      <c r="A89" s="67">
        <v>87</v>
      </c>
      <c r="B89" s="67" t="str">
        <f>'Production Data-Table'!AH85</f>
        <v/>
      </c>
      <c r="C89" s="67" t="str">
        <f>'Production Data-Table'!F85</f>
        <v/>
      </c>
      <c r="D89" s="68" t="e">
        <f>'Production Data-Table'!K85-'Production Data-Table'!K84</f>
        <v>#VALUE!</v>
      </c>
      <c r="E89" s="67" t="str">
        <f>'Production Data-Table'!M85</f>
        <v/>
      </c>
      <c r="F89" s="67" t="str">
        <f>'Production Data-Table'!X85</f>
        <v/>
      </c>
    </row>
    <row r="90" spans="1:6" x14ac:dyDescent="0.2">
      <c r="A90" s="67">
        <v>88</v>
      </c>
      <c r="B90" s="67" t="str">
        <f>'Production Data-Table'!AH86</f>
        <v/>
      </c>
      <c r="C90" s="67" t="str">
        <f>'Production Data-Table'!F86</f>
        <v/>
      </c>
      <c r="D90" s="68" t="e">
        <f>'Production Data-Table'!K86-'Production Data-Table'!K85</f>
        <v>#VALUE!</v>
      </c>
      <c r="E90" s="67" t="str">
        <f>'Production Data-Table'!M86</f>
        <v/>
      </c>
      <c r="F90" s="67" t="str">
        <f>'Production Data-Table'!X86</f>
        <v/>
      </c>
    </row>
    <row r="91" spans="1:6" x14ac:dyDescent="0.2">
      <c r="A91" s="67">
        <v>89</v>
      </c>
      <c r="B91" s="67" t="str">
        <f>'Production Data-Table'!AH87</f>
        <v/>
      </c>
      <c r="C91" s="67" t="str">
        <f>'Production Data-Table'!F87</f>
        <v/>
      </c>
      <c r="D91" s="68" t="e">
        <f>'Production Data-Table'!K87-'Production Data-Table'!K86</f>
        <v>#VALUE!</v>
      </c>
      <c r="E91" s="67" t="str">
        <f>'Production Data-Table'!M87</f>
        <v/>
      </c>
      <c r="F91" s="67" t="str">
        <f>'Production Data-Table'!X87</f>
        <v/>
      </c>
    </row>
    <row r="92" spans="1:6" x14ac:dyDescent="0.2">
      <c r="A92" s="67">
        <v>90</v>
      </c>
      <c r="B92" s="67" t="str">
        <f>'Production Data-Table'!AH88</f>
        <v/>
      </c>
      <c r="C92" s="67" t="str">
        <f>'Production Data-Table'!F88</f>
        <v/>
      </c>
      <c r="D92" s="68" t="e">
        <f>'Production Data-Table'!K88-'Production Data-Table'!K87</f>
        <v>#VALUE!</v>
      </c>
      <c r="E92" s="67" t="str">
        <f>'Production Data-Table'!M88</f>
        <v/>
      </c>
      <c r="F92" s="67" t="str">
        <f>'Production Data-Table'!X88</f>
        <v/>
      </c>
    </row>
  </sheetData>
  <sheetProtection password="CC88"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H108"/>
  <sheetViews>
    <sheetView showGridLines="0" tabSelected="1" topLeftCell="A2" zoomScale="60" zoomScaleNormal="60" zoomScaleSheetLayoutView="70" zoomScalePageLayoutView="70" workbookViewId="0">
      <pane xSplit="2" ySplit="13" topLeftCell="C15" activePane="bottomRight" state="frozen"/>
      <selection activeCell="A2" sqref="A2"/>
      <selection pane="topRight" activeCell="C2" sqref="C2"/>
      <selection pane="bottomLeft" activeCell="A15" sqref="A15"/>
      <selection pane="bottomRight" activeCell="C15" sqref="C15"/>
    </sheetView>
  </sheetViews>
  <sheetFormatPr baseColWidth="10" defaultRowHeight="12.75" x14ac:dyDescent="0.2"/>
  <cols>
    <col min="1" max="1" width="12.7109375" style="25" customWidth="1"/>
    <col min="2" max="2" width="18.7109375" style="25" customWidth="1"/>
    <col min="3" max="3" width="10.7109375" style="25" customWidth="1"/>
    <col min="4" max="4" width="12.7109375" style="25" customWidth="1"/>
    <col min="5" max="5" width="10.28515625" style="25" customWidth="1"/>
    <col min="6" max="6" width="15.28515625" style="25" customWidth="1"/>
    <col min="7" max="7" width="16.85546875" style="25" customWidth="1"/>
    <col min="8" max="8" width="15" style="25" customWidth="1"/>
    <col min="9" max="9" width="10.5703125" style="25" customWidth="1"/>
    <col min="10" max="10" width="19" style="25" customWidth="1"/>
    <col min="11" max="11" width="12.140625" style="25" customWidth="1"/>
    <col min="12" max="12" width="11.85546875" style="25" customWidth="1"/>
    <col min="13" max="13" width="10.42578125" style="25" customWidth="1"/>
    <col min="14" max="14" width="13.42578125" style="25" customWidth="1"/>
    <col min="15" max="15" width="14.140625" style="25" customWidth="1"/>
    <col min="16" max="16" width="13.85546875" style="25" customWidth="1"/>
    <col min="17" max="17" width="15.28515625" style="25" customWidth="1"/>
    <col min="18" max="18" width="15.5703125" style="25" customWidth="1"/>
    <col min="19" max="19" width="10.5703125" style="25" customWidth="1"/>
    <col min="20" max="20" width="11.7109375" style="25" customWidth="1"/>
    <col min="21" max="21" width="16.5703125" style="25" customWidth="1"/>
    <col min="22" max="22" width="13.140625" style="25" customWidth="1"/>
    <col min="23" max="23" width="17.42578125" style="25" customWidth="1"/>
    <col min="24" max="24" width="11.5703125" style="25" customWidth="1"/>
    <col min="25" max="26" width="14.28515625" style="25" customWidth="1"/>
    <col min="27" max="27" width="12.28515625" style="25" customWidth="1"/>
    <col min="28" max="28" width="10.7109375" style="25" customWidth="1"/>
    <col min="29" max="29" width="12.7109375" style="25" customWidth="1"/>
    <col min="30" max="30" width="10.7109375" style="25" customWidth="1"/>
    <col min="31" max="31" width="12.7109375" style="25" customWidth="1"/>
    <col min="32" max="32" width="10.7109375" style="25" customWidth="1"/>
    <col min="33" max="33" width="12.7109375" style="25" customWidth="1"/>
    <col min="34" max="34" width="18.28515625" style="25" customWidth="1"/>
    <col min="35" max="16384" width="11.42578125" style="25"/>
  </cols>
  <sheetData>
    <row r="1" spans="1:34" ht="27" customHeight="1" x14ac:dyDescent="0.35">
      <c r="A1" s="487"/>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34" ht="27" customHeight="1" x14ac:dyDescent="0.35">
      <c r="A2" s="438"/>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row>
    <row r="3" spans="1:34" ht="27" customHeight="1" x14ac:dyDescent="0.45">
      <c r="A3" s="497" t="str">
        <f>IF(Data!$C$15="","",VLOOKUP(Data!$C$15,Traduction!$A$2:$BR$13,14,FALSE))</f>
        <v>Période de production</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row>
    <row r="4" spans="1:34" ht="12.75" customHeight="1" thickBot="1" x14ac:dyDescent="0.25">
      <c r="B4" s="26"/>
    </row>
    <row r="5" spans="1:34" ht="24.95" customHeight="1" x14ac:dyDescent="0.35">
      <c r="B5" s="26"/>
      <c r="L5" s="335"/>
      <c r="M5" s="336" t="str">
        <f>IF(Data!$C$15="","",VLOOKUP(Data!$C$15,Traduction!$A$2:$BR$13,4,FALSE))</f>
        <v>Pays</v>
      </c>
      <c r="N5" s="336"/>
      <c r="O5" s="336"/>
      <c r="P5" s="336" t="str">
        <f>IF(Data!F31&lt;&gt;"",Data!F31,"")</f>
        <v/>
      </c>
      <c r="Q5" s="336"/>
      <c r="R5" s="337"/>
      <c r="S5" s="336" t="str">
        <f>IF(Data!$C$15="","",VLOOKUP(Data!$C$15,Traduction!$A$2:$BR$13,8,FALSE))</f>
        <v>Lignée</v>
      </c>
      <c r="T5" s="336"/>
      <c r="U5" s="336"/>
      <c r="V5" s="500" t="str">
        <f>IF(Data!F36&lt;&gt;"",Data!F36,"")</f>
        <v/>
      </c>
      <c r="W5" s="500"/>
      <c r="X5" s="501"/>
    </row>
    <row r="6" spans="1:34" ht="24.95" customHeight="1" x14ac:dyDescent="0.35">
      <c r="E6" s="254"/>
      <c r="F6" s="254"/>
      <c r="L6" s="338"/>
      <c r="M6" s="339" t="str">
        <f>IF(Data!$C$15="","",VLOOKUP(Data!$C$15,Traduction!$A$2:$BR$13,5,FALSE))</f>
        <v>Société</v>
      </c>
      <c r="N6" s="339"/>
      <c r="O6" s="339"/>
      <c r="P6" s="339" t="str">
        <f>IF(Data!F32&lt;&gt;"",Data!F32,"")</f>
        <v/>
      </c>
      <c r="Q6" s="339"/>
      <c r="R6" s="340"/>
      <c r="S6" s="339" t="str">
        <f>IF(Data!$C$15="","",VLOOKUP(Data!$C$15,Traduction!$A$2:$BR$13,9,FALSE))</f>
        <v>Nombre</v>
      </c>
      <c r="T6" s="339"/>
      <c r="U6" s="339"/>
      <c r="V6" s="502" t="str">
        <f>IF(Data!F37&lt;&gt;"",Data!F37,"")</f>
        <v/>
      </c>
      <c r="W6" s="502"/>
      <c r="X6" s="503"/>
      <c r="Y6" s="256"/>
      <c r="Z6" s="256"/>
      <c r="AA6" s="257"/>
      <c r="AB6" s="257"/>
      <c r="AC6" s="257"/>
      <c r="AD6" s="257"/>
    </row>
    <row r="7" spans="1:34" ht="24.95" customHeight="1" x14ac:dyDescent="0.35">
      <c r="E7" s="255"/>
      <c r="F7" s="255"/>
      <c r="L7" s="338"/>
      <c r="M7" s="339" t="str">
        <f>IF(Data!$C$15="","",VLOOKUP(Data!$C$15,Traduction!$A$2:$BR$13,6,FALSE))</f>
        <v>Ferme</v>
      </c>
      <c r="N7" s="339"/>
      <c r="O7" s="339"/>
      <c r="P7" s="339" t="str">
        <f>IF(Data!F33&lt;&gt;"",Data!F33,"")</f>
        <v/>
      </c>
      <c r="Q7" s="339"/>
      <c r="R7" s="340"/>
      <c r="S7" s="339" t="str">
        <f>IF(Data!$C$15="","",VLOOKUP(Data!$C$15,Traduction!$A$2:$BR$13,15,FALSE))</f>
        <v>Date du transfert</v>
      </c>
      <c r="T7" s="339"/>
      <c r="U7" s="339"/>
      <c r="V7" s="504" t="str">
        <f>IF(Data!F38&lt;&gt;"",Data!F38,"")</f>
        <v/>
      </c>
      <c r="W7" s="504"/>
      <c r="X7" s="505"/>
      <c r="Y7" s="256"/>
      <c r="Z7" s="256"/>
      <c r="AA7" s="258"/>
      <c r="AB7" s="258"/>
      <c r="AC7" s="258"/>
      <c r="AD7" s="258"/>
    </row>
    <row r="8" spans="1:34" ht="24.95" customHeight="1" thickBot="1" x14ac:dyDescent="0.4">
      <c r="E8" s="255"/>
      <c r="F8" s="255"/>
      <c r="L8" s="341"/>
      <c r="M8" s="342" t="str">
        <f>IF(Data!$C$15="","",VLOOKUP(Data!$C$15,Traduction!$A$2:$BR$13,7,FALSE))</f>
        <v>Poulailler</v>
      </c>
      <c r="N8" s="342"/>
      <c r="O8" s="342"/>
      <c r="P8" s="342" t="str">
        <f>IF(Data!F34&lt;&gt;"",Data!F34,"")</f>
        <v/>
      </c>
      <c r="Q8" s="342"/>
      <c r="R8" s="343"/>
      <c r="S8" s="342" t="str">
        <f>IF(Data!$C$15="","",VLOOKUP(Data!$C$15,Traduction!$A$2:$BR$13,16,FALSE))</f>
        <v>Type d'élevage</v>
      </c>
      <c r="T8" s="342"/>
      <c r="U8" s="342"/>
      <c r="V8" s="506" t="str">
        <f>IF(Data!F35&lt;&gt;"",Data!F35,"")</f>
        <v/>
      </c>
      <c r="W8" s="506"/>
      <c r="X8" s="507"/>
      <c r="Y8" s="256"/>
      <c r="Z8" s="256"/>
      <c r="AA8" s="259"/>
      <c r="AB8" s="259"/>
      <c r="AC8" s="259"/>
      <c r="AD8" s="259"/>
    </row>
    <row r="9" spans="1:34" ht="20.100000000000001" customHeight="1" thickBot="1" x14ac:dyDescent="0.25"/>
    <row r="10" spans="1:34" s="435" customFormat="1" ht="31.5" customHeight="1" x14ac:dyDescent="0.2">
      <c r="A10" s="508" t="str">
        <f>IF(Data!$C$15="","",VLOOKUP(Data!$C$15,Traduction!$A$2:$BR$13,18,FALSE))</f>
        <v>Age</v>
      </c>
      <c r="B10" s="516" t="str">
        <f>IF(Data!$C$15="","",VLOOKUP(Data!$C$15,Traduction!$A$2:$BR$13,25,FALSE))</f>
        <v>Date début de semaine</v>
      </c>
      <c r="C10" s="498" t="str">
        <f>IF(Data!$C$15="","",VLOOKUP(Data!$C$15,Traduction!$A$2:$BR$13,46,FALSE))</f>
        <v>Viabilité</v>
      </c>
      <c r="D10" s="489"/>
      <c r="E10" s="489"/>
      <c r="F10" s="490"/>
      <c r="G10" s="488" t="str">
        <f>IF(Data!$C$15="","",VLOOKUP(Data!$C$15,Traduction!$A$2:$BR$13,47,FALSE))</f>
        <v>Production d'œufs</v>
      </c>
      <c r="H10" s="489"/>
      <c r="I10" s="489"/>
      <c r="J10" s="489"/>
      <c r="K10" s="489"/>
      <c r="L10" s="490"/>
      <c r="M10" s="495" t="str">
        <f>IF(Data!$C$15="","",VLOOKUP(Data!$C$15,Traduction!$A$2:$BR$13,48,FALSE))</f>
        <v>Masse d'œufs</v>
      </c>
      <c r="N10" s="494"/>
      <c r="O10" s="494"/>
      <c r="P10" s="494"/>
      <c r="Q10" s="494"/>
      <c r="R10" s="494"/>
      <c r="S10" s="494"/>
      <c r="T10" s="496"/>
      <c r="U10" s="494" t="str">
        <f>IF(Data!$C$15="","",VLOOKUP(Data!$C$15,Traduction!$A$2:$BR$13,27,FALSE))</f>
        <v>Consommation d'aliment</v>
      </c>
      <c r="V10" s="494"/>
      <c r="W10" s="494"/>
      <c r="X10" s="494"/>
      <c r="Y10" s="494"/>
      <c r="Z10" s="494"/>
      <c r="AA10" s="434"/>
      <c r="AB10" s="488" t="str">
        <f>IF(Data!$C$15="","",VLOOKUP(Data!$C$15,Traduction!$A$2:$BR$13,56,FALSE))</f>
        <v>Déclassés</v>
      </c>
      <c r="AC10" s="489"/>
      <c r="AD10" s="489"/>
      <c r="AE10" s="489"/>
      <c r="AF10" s="489"/>
      <c r="AG10" s="490"/>
      <c r="AH10" s="512" t="str">
        <f>IF(Data!$C$15="","",VLOOKUP(Data!$C$15,Traduction!$A$2:$BR$13,20,FALSE))</f>
        <v>Poids corporel</v>
      </c>
    </row>
    <row r="11" spans="1:34" s="374" customFormat="1" ht="24.95" customHeight="1" x14ac:dyDescent="0.25">
      <c r="A11" s="509"/>
      <c r="B11" s="517"/>
      <c r="C11" s="367"/>
      <c r="D11" s="368"/>
      <c r="E11" s="368"/>
      <c r="F11" s="369"/>
      <c r="G11" s="366"/>
      <c r="H11" s="368"/>
      <c r="I11" s="368"/>
      <c r="J11" s="368"/>
      <c r="K11" s="368"/>
      <c r="L11" s="369"/>
      <c r="M11" s="510" t="str">
        <f>IF(Data!$C$15="","",VLOOKUP(Data!$C$15,Traduction!$A$2:$BR$13,49,FALSE))</f>
        <v>P.M.O.</v>
      </c>
      <c r="N11" s="511"/>
      <c r="O11" s="518" t="str">
        <f>IF(Data!$C$15="","",VLOOKUP(Data!$C$15,Traduction!$A$2:$BR$13,50,FALSE))</f>
        <v>Masse d'œufs / Sem / ♀</v>
      </c>
      <c r="P11" s="511"/>
      <c r="Q11" s="518" t="str">
        <f>IF(Data!$C$15="","",VLOOKUP(Data!$C$15,Traduction!$A$2:$BR$13,51,FALSE))</f>
        <v>Masse cumulée / ♀</v>
      </c>
      <c r="R11" s="511"/>
      <c r="S11" s="518" t="str">
        <f>IF(Data!$C$15="","",VLOOKUP(Data!$C$15,Traduction!$A$2:$BR$13,52,FALSE))</f>
        <v>P.M.O. cumulé</v>
      </c>
      <c r="T11" s="519"/>
      <c r="U11" s="370"/>
      <c r="V11" s="363"/>
      <c r="W11" s="370"/>
      <c r="X11" s="491" t="str">
        <f>IF(Data!$C$15="","",VLOOKUP(Data!$C$15,Traduction!$A$2:$BR$13,30,FALSE))</f>
        <v>Cumul</v>
      </c>
      <c r="Y11" s="492"/>
      <c r="Z11" s="493"/>
      <c r="AA11" s="334"/>
      <c r="AB11" s="499" t="str">
        <f>IF(Data!$C$15="","",VLOOKUP(Data!$C$15,Traduction!$A$2:$BR$13,6,FALSE))</f>
        <v>Ferme</v>
      </c>
      <c r="AC11" s="493"/>
      <c r="AD11" s="491" t="str">
        <f>IF(Data!$C$15="","",VLOOKUP(Data!$C$15,Traduction!$A$2:$BR$13,58,FALSE))</f>
        <v>Centre</v>
      </c>
      <c r="AE11" s="493"/>
      <c r="AF11" s="491" t="str">
        <f>IF(Data!$C$15="","",VLOOKUP(Data!$C$15,Traduction!$A$2:$BR$13,30,FALSE))</f>
        <v>Cumul</v>
      </c>
      <c r="AG11" s="493"/>
      <c r="AH11" s="513"/>
    </row>
    <row r="12" spans="1:34" s="374" customFormat="1" ht="24.95" customHeight="1" x14ac:dyDescent="0.25">
      <c r="A12" s="397"/>
      <c r="B12" s="379"/>
      <c r="C12" s="367"/>
      <c r="D12" s="368"/>
      <c r="E12" s="368"/>
      <c r="F12" s="369"/>
      <c r="G12" s="366"/>
      <c r="H12" s="368"/>
      <c r="I12" s="368"/>
      <c r="J12" s="368"/>
      <c r="K12" s="368"/>
      <c r="L12" s="369"/>
      <c r="M12" s="510"/>
      <c r="N12" s="511"/>
      <c r="O12" s="518"/>
      <c r="P12" s="511"/>
      <c r="Q12" s="518"/>
      <c r="R12" s="511"/>
      <c r="S12" s="518"/>
      <c r="T12" s="519"/>
      <c r="U12" s="370"/>
      <c r="V12" s="380"/>
      <c r="W12" s="370"/>
      <c r="X12" s="378"/>
      <c r="Y12" s="380"/>
      <c r="Z12" s="377"/>
      <c r="AA12" s="334"/>
      <c r="AB12" s="376"/>
      <c r="AC12" s="377"/>
      <c r="AD12" s="378"/>
      <c r="AE12" s="377"/>
      <c r="AF12" s="371"/>
      <c r="AG12" s="372"/>
      <c r="AH12" s="373"/>
    </row>
    <row r="13" spans="1:34" s="365" customFormat="1" ht="27" customHeight="1" x14ac:dyDescent="0.25">
      <c r="A13" s="329" t="str">
        <f>IF(Data!$C$15="","",VLOOKUP(Data!$C$15,Traduction!$A$2:$BR$13,28,FALSE))</f>
        <v>Semaine</v>
      </c>
      <c r="B13" s="330"/>
      <c r="C13" s="331" t="str">
        <f>IF(Data!$C$15="","",VLOOKUP(Data!$C$15,Traduction!$A$2:$BR$13,28,FALSE))</f>
        <v>Semaine</v>
      </c>
      <c r="D13" s="272" t="str">
        <f>IF(Data!$C$15="","",VLOOKUP(Data!$C$15,Traduction!$A$2:$BR$13,30,FALSE))</f>
        <v>Cumul</v>
      </c>
      <c r="E13" s="272" t="s">
        <v>3</v>
      </c>
      <c r="F13" s="332" t="str">
        <f>IF(Data!$C$15="","",VLOOKUP(Data!$C$15,Traduction!$A$2:$BR$13,9,FALSE))</f>
        <v>Nombre</v>
      </c>
      <c r="G13" s="329" t="str">
        <f>IF(Data!$C$15="","",VLOOKUP(Data!$C$15,Traduction!$A$2:$BR$13,28,FALSE))</f>
        <v>Semaine</v>
      </c>
      <c r="H13" s="272" t="str">
        <f>IF(Data!$C$15="","",VLOOKUP(Data!$C$15,Traduction!$A$2:$BR$13,53,FALSE))</f>
        <v>Réel</v>
      </c>
      <c r="I13" s="272" t="str">
        <f>IF(Data!$C$15="","",VLOOKUP(Data!$C$15,Traduction!$A$2:$BR$13,33,FALSE))</f>
        <v>Norme</v>
      </c>
      <c r="J13" s="272" t="str">
        <f>IF(Data!$C$15="","",VLOOKUP(Data!$C$15,Traduction!$A$2:$BR$13,30,FALSE))</f>
        <v>Cumul</v>
      </c>
      <c r="K13" s="272" t="str">
        <f>IF(Data!$C$15="","",VLOOKUP(Data!$C$15,Traduction!$A$2:$BR$13,53,FALSE))</f>
        <v>Réel</v>
      </c>
      <c r="L13" s="332" t="str">
        <f>IF(Data!$C$15="","",VLOOKUP(Data!$C$15,Traduction!$A$2:$BR$13,33,FALSE))</f>
        <v>Norme</v>
      </c>
      <c r="M13" s="272" t="str">
        <f>IF(Data!$C$15="","",VLOOKUP(Data!$C$15,Traduction!$A$2:$BR$13,53,FALSE))</f>
        <v>Réel</v>
      </c>
      <c r="N13" s="272" t="str">
        <f>IF(Data!$C$15="","",VLOOKUP(Data!$C$15,Traduction!$A$2:$BR$13,33,FALSE))</f>
        <v>Norme</v>
      </c>
      <c r="O13" s="272" t="str">
        <f>IF(Data!$C$15="","",VLOOKUP(Data!$C$15,Traduction!$A$2:$BR$13,53,FALSE))</f>
        <v>Réel</v>
      </c>
      <c r="P13" s="272" t="str">
        <f>IF(Data!$C$15="","",VLOOKUP(Data!$C$15,Traduction!$A$2:$BR$13,33,FALSE))</f>
        <v>Norme</v>
      </c>
      <c r="Q13" s="272" t="str">
        <f>IF(Data!$C$15="","",VLOOKUP(Data!$C$15,Traduction!$A$2:$BR$13,53,FALSE))</f>
        <v>Réel</v>
      </c>
      <c r="R13" s="272" t="str">
        <f>IF(Data!$C$15="","",VLOOKUP(Data!$C$15,Traduction!$A$2:$BR$13,33,FALSE))</f>
        <v>Norme</v>
      </c>
      <c r="S13" s="272" t="str">
        <f>IF(Data!$C$15="","",VLOOKUP(Data!$C$15,Traduction!$A$2:$BR$13,53,FALSE))</f>
        <v>Réel</v>
      </c>
      <c r="T13" s="333" t="str">
        <f>IF(Data!$C$15="","",VLOOKUP(Data!$C$15,Traduction!$A$2:$BR$13,33,FALSE))</f>
        <v>Norme</v>
      </c>
      <c r="U13" s="329" t="str">
        <f>IF(Data!$C$15="","",VLOOKUP(Data!$C$15,Traduction!$A$2:$BR$13,28,FALSE))</f>
        <v>Semaine</v>
      </c>
      <c r="V13" s="272" t="str">
        <f>IF(Data!$C$15="","",VLOOKUP(Data!$C$15,Traduction!$A$2:$BR$13,34,FALSE))</f>
        <v>Jour / ♀</v>
      </c>
      <c r="W13" s="272" t="str">
        <f>IF(Data!$C$15="","",VLOOKUP(Data!$C$15,Traduction!$A$2:$BR$13,30,FALSE))</f>
        <v>Cumul</v>
      </c>
      <c r="X13" s="272" t="s">
        <v>64</v>
      </c>
      <c r="Y13" s="272" t="str">
        <f>IF(Data!$C$15="","",VLOOKUP(Data!$C$15,Traduction!$A$2:$BR$13,39,FALSE))</f>
        <v>/ Œuf</v>
      </c>
      <c r="Z13" s="272" t="str">
        <f>IF(Data!$C$15="","",VLOOKUP(Data!$C$15,Traduction!$A$2:$BR$13,40,FALSE))</f>
        <v>/ Kg œuf</v>
      </c>
      <c r="AA13" s="332" t="str">
        <f>IF(Data!$C$15="","",VLOOKUP(Data!$C$15,Traduction!$A$2:$BR$13,55,FALSE))</f>
        <v>Ratio E/A</v>
      </c>
      <c r="AB13" s="329" t="str">
        <f>IF(Data!$C$15="","",VLOOKUP(Data!$C$15,Traduction!$A$2:$BR$13,28,FALSE))</f>
        <v>Semaine</v>
      </c>
      <c r="AC13" s="272" t="s">
        <v>3</v>
      </c>
      <c r="AD13" s="272" t="str">
        <f>IF(Data!$C$15="","",VLOOKUP(Data!$C$15,Traduction!$A$2:$BR$13,28,FALSE))</f>
        <v>Semaine</v>
      </c>
      <c r="AE13" s="272" t="s">
        <v>3</v>
      </c>
      <c r="AF13" s="272" t="str">
        <f>IF(Data!$C$15="","",VLOOKUP(Data!$C$15,Traduction!$A$2:$BR$13,30,FALSE))</f>
        <v>Cumul</v>
      </c>
      <c r="AG13" s="332" t="s">
        <v>3</v>
      </c>
      <c r="AH13" s="364"/>
    </row>
    <row r="14" spans="1:34" s="271" customFormat="1" ht="20.100000000000001" customHeight="1" x14ac:dyDescent="0.25">
      <c r="A14" s="263"/>
      <c r="B14" s="264"/>
      <c r="C14" s="265"/>
      <c r="D14" s="266"/>
      <c r="E14" s="267"/>
      <c r="F14" s="264"/>
      <c r="G14" s="263"/>
      <c r="H14" s="267" t="s">
        <v>3</v>
      </c>
      <c r="I14" s="267" t="s">
        <v>3</v>
      </c>
      <c r="J14" s="267"/>
      <c r="K14" s="267" t="s">
        <v>2</v>
      </c>
      <c r="L14" s="268" t="s">
        <v>2</v>
      </c>
      <c r="M14" s="269" t="str">
        <f>IF(Data!$C$15="","",VLOOKUP(Data!$C$15,Traduction!$A$2:$BZ$13,75,FALSE))</f>
        <v>g</v>
      </c>
      <c r="N14" s="267" t="str">
        <f>IF(Data!$C$15="","",VLOOKUP(Data!$C$15,Traduction!$A$2:$BZ$13,75,FALSE))</f>
        <v>g</v>
      </c>
      <c r="O14" s="267" t="str">
        <f>IF(Data!$C$15="","",VLOOKUP(Data!$C$15,Traduction!$A$2:$BZ$13,75,FALSE))</f>
        <v>g</v>
      </c>
      <c r="P14" s="267" t="str">
        <f>IF(Data!$C$15="","",VLOOKUP(Data!$C$15,Traduction!$A$2:$BZ$13,75,FALSE))</f>
        <v>g</v>
      </c>
      <c r="Q14" s="267" t="str">
        <f>IF(Data!$C$15="","",VLOOKUP(Data!$C$15,Traduction!$A$2:$BZ$13,75,FALSE))</f>
        <v>g</v>
      </c>
      <c r="R14" s="267" t="str">
        <f>IF(Data!$C$15="","",VLOOKUP(Data!$C$15,Traduction!$A$2:$BZ$13,75,FALSE))</f>
        <v>g</v>
      </c>
      <c r="S14" s="267" t="str">
        <f>IF(Data!$C$15="","",VLOOKUP(Data!$C$15,Traduction!$A$2:$BZ$13,75,FALSE))</f>
        <v>g</v>
      </c>
      <c r="T14" s="268" t="str">
        <f>IF(Data!$C$15="","",VLOOKUP(Data!$C$15,Traduction!$A$2:$BZ$13,75,FALSE))</f>
        <v>g</v>
      </c>
      <c r="U14" s="270" t="str">
        <f>IF(Data!$C$15="","",VLOOKUP(Data!$C$15,Traduction!$A$2:$BZ$13,78,FALSE))</f>
        <v>kg</v>
      </c>
      <c r="V14" s="267" t="str">
        <f>IF(Data!$C$15="","",VLOOKUP(Data!$C$15,Traduction!$A$2:$BZ$13,75,FALSE))</f>
        <v>g</v>
      </c>
      <c r="W14" s="267" t="str">
        <f>IF(Data!$C$15="","",VLOOKUP(Data!$C$15,Traduction!$A$2:$BZ$13,78,FALSE))</f>
        <v>kg</v>
      </c>
      <c r="X14" s="267" t="str">
        <f>IF(Data!$C$15="","",VLOOKUP(Data!$C$15,Traduction!$A$2:$BZ$13,75,FALSE))</f>
        <v>g</v>
      </c>
      <c r="Y14" s="267" t="str">
        <f>IF(Data!$C$15="","",VLOOKUP(Data!$C$15,Traduction!$A$2:$BZ$13,75,FALSE))</f>
        <v>g</v>
      </c>
      <c r="Z14" s="267" t="str">
        <f>IF(Data!$C$15="","",VLOOKUP(Data!$C$15,Traduction!$A$2:$BZ$13,78,FALSE))</f>
        <v>kg</v>
      </c>
      <c r="AA14" s="268"/>
      <c r="AB14" s="269"/>
      <c r="AC14" s="267"/>
      <c r="AD14" s="267"/>
      <c r="AE14" s="267"/>
      <c r="AF14" s="267"/>
      <c r="AG14" s="268"/>
      <c r="AH14" s="268" t="str">
        <f>IF(Data!$C$15="","",VLOOKUP(Data!$C$15,Traduction!$A$2:$BZ$13,75,FALSE))</f>
        <v>g</v>
      </c>
    </row>
    <row r="15" spans="1:34" s="299" customFormat="1" ht="24.95" customHeight="1" x14ac:dyDescent="0.25">
      <c r="A15" s="273">
        <v>17</v>
      </c>
      <c r="B15" s="429" t="str">
        <f>IF(Data!F39="","",'Production Data-Daily Input'!B14-7)</f>
        <v/>
      </c>
      <c r="C15" s="274" t="str">
        <f>IF(IF(AND(SUMIF('Production Data-Daily Input'!$B:$B,"Total "&amp;$A15,'Production Data-Daily Input'!$C:$C)="",SUMIF('Production Data-Weekly input'!$A:$A,A15,'Production Data-Weekly input'!$B:$B)=""),"",IF(SUMIF('Production Data-Daily Input'!$B:$B,"Total "&amp;$A15,'Production Data-Daily Input'!$C:$C)&lt;&gt;0,SUMIF('Production Data-Daily Input'!$B:$B,"Total "&amp;$A15,'Production Data-Daily Input'!$C:$C),SUMIF('Production Data-Weekly input'!$A:$A,A15,'Production Data-Weekly input'!$B:$B)/100*Data!$F$37))=0,"",IF(AND(SUMIF('Production Data-Daily Input'!$B:$B,"Total "&amp;$A15,'Production Data-Daily Input'!$C:$C)="",SUMIF('Production Data-Weekly input'!$A:$A,A15,'Production Data-Weekly input'!$B:$B)=""),"",IF(SUMIF('Production Data-Daily Input'!$B:$B,"Total "&amp;$A15,'Production Data-Daily Input'!$C:$C)&lt;&gt;0,SUMIF('Production Data-Daily Input'!$B:$B,"Total "&amp;$A15,'Production Data-Daily Input'!$C:$C),SUMIF('Production Data-Weekly input'!$A:$A,A15,'Production Data-Weekly input'!$B:$B)/100*Data!$F$37)))</f>
        <v/>
      </c>
      <c r="D15" s="275" t="str">
        <f>IF(AND(SUM(C15:$C$88)=0,SUMIF('Production Data-Daily Input'!$B:$B,"Total "&amp;$A15,'Production Data-Daily Input'!$D:$D)=0,SUMIF('Production Data-Weekly input'!$A:$A,$A15,'Production Data-Weekly input'!$C:$C)=0),"",IF(C15="",D14,C15+D14))</f>
        <v/>
      </c>
      <c r="E15" s="276" t="str">
        <f>IF(F15="","",F15/Data!F$37)</f>
        <v/>
      </c>
      <c r="F15" s="277" t="str">
        <f>IF(D15="","",Data!$F$37-D15)</f>
        <v/>
      </c>
      <c r="G15" s="278" t="str">
        <f>IF(F15="","",IF(SUMIF('Production Data-Daily Input'!$B:$B,"Total "&amp;$A15,'Production Data-Daily Input'!$D:$D)&lt;&gt;0,SUMIF('Production Data-Daily Input'!$B:$B,"Total "&amp;$A15,'Production Data-Daily Input'!$D:$D),IF(SUMIF('Production Data-Weekly input'!$A:$A,$A15,'Production Data-Weekly input'!$C:$C)=0,0,SUMIF('Production Data-Weekly input'!$A:$A,$A15,'Production Data-Weekly input'!$C:$C)/100*7*$F15)))</f>
        <v/>
      </c>
      <c r="H15" s="279" t="str">
        <f>IF(AND(G15="",'Production Data-Weekly input'!C12=""),"",IF(G15="",'Production Data-Weekly input'!C12,G15/F15/7*100))</f>
        <v/>
      </c>
      <c r="I15" s="280"/>
      <c r="J15" s="275">
        <f>IF(G15&lt;&gt;"",G15,0)</f>
        <v>0</v>
      </c>
      <c r="K15" s="281" t="str">
        <f>IF(H15="","",J15/Data!F$37)</f>
        <v/>
      </c>
      <c r="L15" s="282"/>
      <c r="M15" s="283" t="str">
        <f>IF(IF(SUMIF('Production Data-Daily Input'!$B:$B,"Total "&amp;$A15,'Production Data-Daily Input'!$G:$G)&lt;&gt;0,SUMIF('Production Data-Daily Input'!$B:$B,"Total "&amp;$A15,'Production Data-Daily Input'!$G:$G),IF(SUMIF('Production Data-Weekly input'!$A:$A,$A15,'Production Data-Weekly input'!$F:$F)="","",SUMIF('Production Data-Weekly input'!$A:$A,$A15,'Production Data-Weekly input'!$F:$F)))=0,"",IF(SUMIF('Production Data-Daily Input'!$B:$B,"Total "&amp;$A15,'Production Data-Daily Input'!$G:$G)&lt;&gt;0,SUMIF('Production Data-Daily Input'!$B:$B,"Total "&amp;$A15,'Production Data-Daily Input'!$G:$G),IF(SUMIF('Production Data-Weekly input'!$A:$A,$A15,'Production Data-Weekly input'!$F:$F)="","",SUMIF('Production Data-Weekly input'!$A:$A,$A15,'Production Data-Weekly input'!$F:$F))))</f>
        <v/>
      </c>
      <c r="N15" s="284"/>
      <c r="O15" s="285" t="str">
        <f t="shared" ref="O15:O46" si="0">IF(M15="","",IF(G15="","",IF(AND(H15=0,M15=""),"",IF(H15=0,(I15*F15*7/100)*M15/$V$6,IF(M15&lt;&gt;"",(M15*G15)/$V$6,IF(M15="",(N15*G15)/$V$6))))))</f>
        <v/>
      </c>
      <c r="P15" s="286"/>
      <c r="Q15" s="287" t="str">
        <f>O15</f>
        <v/>
      </c>
      <c r="R15" s="288"/>
      <c r="S15" s="289"/>
      <c r="T15" s="290"/>
      <c r="U15" s="291" t="str">
        <f>IF(F15="","",V15*7*F15/1000)</f>
        <v/>
      </c>
      <c r="V15" s="292" t="str">
        <f>IF(F15="","",IF(SUMIF('Production Data-Weekly input'!$A:$A,A15,'Production Data-Weekly input'!$G:$G)&lt;&gt;0,SUMIF('Production Data-Weekly input'!$A:$A,A15,'Production Data-Weekly input'!$G:$G),(SUMIF('Production Data-Daily Input'!$B:$B,"Total "&amp;A15,'Production Data-Daily Input'!$H:$H)*1000/7/F15)))</f>
        <v/>
      </c>
      <c r="W15" s="275" t="str">
        <f>U15</f>
        <v/>
      </c>
      <c r="X15" s="293" t="str">
        <f>IF(W15&lt;&gt;"",W15/Data!F$37*1000/((A15-16)*7),"")</f>
        <v/>
      </c>
      <c r="Y15" s="400" t="str">
        <f>IF(F15="","",IF(OR(J15="",J15=0),"",IF(W15=0,0,W15/J15*1000)))</f>
        <v/>
      </c>
      <c r="Z15" s="294" t="str">
        <f>IF(F15="","",IF(OR(Q15=0,Q15=""),"",IF(W15&lt;&gt;0,W15/(Q15*Data!F$37/1000),"")))</f>
        <v/>
      </c>
      <c r="AA15" s="295" t="str">
        <f>IF(AND(U15=0,SUMIF('Production Data-Weekly input'!$A:$A,$A15,'Production Data-Weekly input'!$H:$H)=0,SUMIF('Production Data-Daily Input'!$B:$B,"Total "&amp;A15,'Production Data-Daily Input'!$I:$I)=0),"",IF(F15="","",IF(SUMIF('Production Data-Weekly input'!$A:$A,$A15,'Production Data-Weekly input'!$H:$H)&lt;&gt;0,SUMIF('Production Data-Weekly input'!$A:$A,$A15,'Production Data-Weekly input'!$H:$H)*7/U15,SUMIF('Production Data-Daily Input'!$B:$B,"Total "&amp;A15,'Production Data-Daily Input'!$I:$I)*7/U15)))</f>
        <v/>
      </c>
      <c r="AB15" s="278">
        <f>SUMIF('Production Data-Daily Input'!$B:$B,"Total "&amp;$A15,'Production Data-Daily Input'!$E:$E)</f>
        <v>0</v>
      </c>
      <c r="AC15" s="296" t="str">
        <f>IF(F15="","",IF(G15&lt;&gt;0,IF(AB15&lt;&gt;0,AB15/G15,'Production Data-Weekly input'!D12/100),""))</f>
        <v/>
      </c>
      <c r="AD15" s="275">
        <f>SUMIF('Production Data-Daily Input'!$B:$B,"Total "&amp;$A15,'Production Data-Daily Input'!$F:$F)</f>
        <v>0</v>
      </c>
      <c r="AE15" s="296" t="str">
        <f>IF(F15="","",IF(G15&lt;&gt;0,IF(AD15&lt;&gt;0,AD15/G15,'Production Data-Weekly input'!E12/100),""))</f>
        <v/>
      </c>
      <c r="AF15" s="275">
        <f>IF(AB15&gt;0,AB15+AD15,0)</f>
        <v>0</v>
      </c>
      <c r="AG15" s="297" t="str">
        <f>IF(H15="","",IF(G15&lt;&gt;0,AC15+AE15,""))</f>
        <v/>
      </c>
      <c r="AH15" s="298" t="str">
        <f>IF(AND(SUMIF('Production Data-Daily Input'!$B:$B,"Total "&amp;A15,'Production Data-Daily Input'!$J:$J)=0,SUMIF('Production Data-Weekly input'!$A:$A,A15,'Production Data-Weekly input'!$I:$I)=0),"",IF(SUMIF('Production Data-Daily Input'!$B:$B,"Total "&amp;A15,'Production Data-Daily Input'!$J:$J)&lt;&gt;0,SUMIF('Production Data-Daily Input'!$B:$B,"Total "&amp;A15,'Production Data-Daily Input'!$J:$J),SUMIF('Production Data-Weekly input'!$A:$A,A15,'Production Data-Weekly input'!$I:$I)))</f>
        <v/>
      </c>
    </row>
    <row r="16" spans="1:34" s="299" customFormat="1" ht="24.95" customHeight="1" x14ac:dyDescent="0.25">
      <c r="A16" s="273">
        <f>A15+1</f>
        <v>18</v>
      </c>
      <c r="B16" s="429" t="str">
        <f>'Production Data-Daily Input'!B14</f>
        <v/>
      </c>
      <c r="C16" s="274" t="str">
        <f>IF(IF(AND(SUMIF('Production Data-Daily Input'!$B:$B,"Total "&amp;$A16,'Production Data-Daily Input'!$C:$C)="",SUMIF('Production Data-Weekly input'!$A:$A,A16,'Production Data-Weekly input'!$B:$B)=""),"",IF(SUMIF('Production Data-Daily Input'!$B:$B,"Total "&amp;$A16,'Production Data-Daily Input'!$C:$C)&lt;&gt;0,SUMIF('Production Data-Daily Input'!$B:$B,"Total "&amp;$A16,'Production Data-Daily Input'!$C:$C),SUMIF('Production Data-Weekly input'!$A:$A,A16,'Production Data-Weekly input'!$B:$B)/100*Data!$F$37))=0,"",IF(AND(SUMIF('Production Data-Daily Input'!$B:$B,"Total "&amp;$A16,'Production Data-Daily Input'!$C:$C)="",SUMIF('Production Data-Weekly input'!$A:$A,A16,'Production Data-Weekly input'!$B:$B)=""),"",IF(SUMIF('Production Data-Daily Input'!$B:$B,"Total "&amp;$A16,'Production Data-Daily Input'!$C:$C)&lt;&gt;0,SUMIF('Production Data-Daily Input'!$B:$B,"Total "&amp;$A16,'Production Data-Daily Input'!$C:$C),SUMIF('Production Data-Weekly input'!$A:$A,A16,'Production Data-Weekly input'!$B:$B)/100*Data!$F$37)))</f>
        <v/>
      </c>
      <c r="D16" s="275" t="str">
        <f>IF(AND(SUM(C16:$C$88)=0,SUMIF('Production Data-Daily Input'!$B:$B,"Total "&amp;$A16,'Production Data-Daily Input'!$D:$D)=0,SUMIF('Production Data-Weekly input'!$A:$A,$A16,'Production Data-Weekly input'!$C:$C)=0),"",IF(C16="",D15,C16+D15))</f>
        <v/>
      </c>
      <c r="E16" s="276" t="str">
        <f>IF(F16="","",F16/Data!F$37)</f>
        <v/>
      </c>
      <c r="F16" s="277" t="str">
        <f>IF(D16="","",Data!$F$37-D16)</f>
        <v/>
      </c>
      <c r="G16" s="278" t="str">
        <f>IF(F16="","",IF(SUMIF('Production Data-Daily Input'!$B:$B,"Total "&amp;$A16,'Production Data-Daily Input'!$D:$D)&lt;&gt;0,SUMIF('Production Data-Daily Input'!$B:$B,"Total "&amp;$A16,'Production Data-Daily Input'!$D:$D),IF(SUMIF('Production Data-Weekly input'!$A:$A,$A16,'Production Data-Weekly input'!$C:$C)=0,0,SUMIF('Production Data-Weekly input'!$A:$A,$A16,'Production Data-Weekly input'!$C:$C)/100*7*$F16)))</f>
        <v/>
      </c>
      <c r="H16" s="279" t="str">
        <f>IF(AND(G16="",'Production Data-Weekly input'!C13=""),"",IF(G16="",'Production Data-Weekly input'!C13,G16/F16/7*100))</f>
        <v/>
      </c>
      <c r="I16" s="300" t="str">
        <f>Standard!D8</f>
        <v/>
      </c>
      <c r="J16" s="275">
        <f>IF(G16&lt;&gt;"",G16+J15,0)</f>
        <v>0</v>
      </c>
      <c r="K16" s="281" t="str">
        <f>IF(H16="","",J16/Data!F$37)</f>
        <v/>
      </c>
      <c r="L16" s="301" t="str">
        <f>Standard!F8</f>
        <v/>
      </c>
      <c r="M16" s="283" t="str">
        <f>IF(IF(SUMIF('Production Data-Daily Input'!$B:$B,"Total "&amp;$A16,'Production Data-Daily Input'!$G:$G)&lt;&gt;0,SUMIF('Production Data-Daily Input'!$B:$B,"Total "&amp;$A16,'Production Data-Daily Input'!$G:$G),IF(SUMIF('Production Data-Weekly input'!$A:$A,$A16,'Production Data-Weekly input'!$F:$F)="","",SUMIF('Production Data-Weekly input'!$A:$A,$A16,'Production Data-Weekly input'!$F:$F)))=0,"",IF(SUMIF('Production Data-Daily Input'!$B:$B,"Total "&amp;$A16,'Production Data-Daily Input'!$G:$G)&lt;&gt;0,SUMIF('Production Data-Daily Input'!$B:$B,"Total "&amp;$A16,'Production Data-Daily Input'!$G:$G),IF(SUMIF('Production Data-Weekly input'!$A:$A,$A16,'Production Data-Weekly input'!$F:$F)="","",SUMIF('Production Data-Weekly input'!$A:$A,$A16,'Production Data-Weekly input'!$F:$F))))</f>
        <v/>
      </c>
      <c r="N16" s="302" t="str">
        <f>Standard!G8</f>
        <v/>
      </c>
      <c r="O16" s="285" t="str">
        <f t="shared" si="0"/>
        <v/>
      </c>
      <c r="P16" s="303" t="str">
        <f>Standard!H8</f>
        <v/>
      </c>
      <c r="Q16" s="287" t="str">
        <f>IF(AND(H16="",Q15=""),"",IF(O16="","",IF(M16="",IF(Q15="",0,Q15),(M16*H16/100*7*F16/Data!F$37)+IF(Q15="",0,Q15))))</f>
        <v/>
      </c>
      <c r="R16" s="288" t="str">
        <f>Standard!I8</f>
        <v/>
      </c>
      <c r="S16" s="289" t="str">
        <f>IF(AND(F16="",Q16=""),"",IF(J16&lt;&gt;"",IF(Q16="","",Q16*Data!F$37/J16),""))</f>
        <v/>
      </c>
      <c r="T16" s="290" t="str">
        <f>Standard!J8</f>
        <v/>
      </c>
      <c r="U16" s="291" t="str">
        <f t="shared" ref="U16:U79" si="1">IF(F16="","",V16*7*F16/1000)</f>
        <v/>
      </c>
      <c r="V16" s="292" t="str">
        <f>IF(F16="","",IF(SUMIF('Production Data-Weekly input'!$A:$A,A16,'Production Data-Weekly input'!$G:$G)&lt;&gt;0,SUMIF('Production Data-Weekly input'!$A:$A,A16,'Production Data-Weekly input'!$G:$G),(SUMIF('Production Data-Daily Input'!$B:$B,"Total "&amp;A16,'Production Data-Daily Input'!$H:$H)*1000/7/F16)))</f>
        <v/>
      </c>
      <c r="W16" s="293" t="str">
        <f>IF(U16&lt;&gt;"",U16+W15,"")</f>
        <v/>
      </c>
      <c r="X16" s="293" t="str">
        <f>IF(W16&lt;&gt;"",W16/Data!F$37*1000/((A16-16)*7),"")</f>
        <v/>
      </c>
      <c r="Y16" s="400" t="str">
        <f>IF(F16="","",IF(OR(J16="",J16=0),"",IF(W16=0,0,W16/J16*1000)))</f>
        <v/>
      </c>
      <c r="Z16" s="294" t="str">
        <f>IF(F16="","",IF(OR(Q16=0,Q16=""),"",IF(W16&lt;&gt;0,W16/(Q16*Data!F$37/1000),"")))</f>
        <v/>
      </c>
      <c r="AA16" s="295" t="str">
        <f>IF(AND(U16=0,SUMIF('Production Data-Weekly input'!$A:$A,$A16,'Production Data-Weekly input'!$H:$H)=0,SUMIF('Production Data-Daily Input'!$B:$B,"Total "&amp;A16,'Production Data-Daily Input'!$I:$I)=0),"",IF(F16="","",IF(SUMIF('Production Data-Weekly input'!$A:$A,$A16,'Production Data-Weekly input'!$H:$H)&lt;&gt;0,SUMIF('Production Data-Weekly input'!$A:$A,$A16,'Production Data-Weekly input'!$H:$H)*7/U16,SUMIF('Production Data-Daily Input'!$B:$B,"Total "&amp;A16,'Production Data-Daily Input'!$I:$I)*7/U16)))</f>
        <v/>
      </c>
      <c r="AB16" s="278">
        <f>SUMIF('Production Data-Daily Input'!$B:$B,"Total "&amp;$A16,'Production Data-Daily Input'!$E:$E)</f>
        <v>0</v>
      </c>
      <c r="AC16" s="296" t="str">
        <f>IF(F16="","",IF(G16&lt;&gt;0,IF(AB16&lt;&gt;0,AB16/G16,'Production Data-Weekly input'!D13/100),""))</f>
        <v/>
      </c>
      <c r="AD16" s="275">
        <f>SUMIF('Production Data-Daily Input'!$B:$B,"Total "&amp;$A16,'Production Data-Daily Input'!$F:$F)</f>
        <v>0</v>
      </c>
      <c r="AE16" s="296" t="str">
        <f>IF(F16="","",IF(G16&lt;&gt;0,IF(AD16&lt;&gt;0,AD16/G16,'Production Data-Weekly input'!E13/100),""))</f>
        <v/>
      </c>
      <c r="AF16" s="275">
        <f>IF(AB16&gt;0,AB16+AD16,0)</f>
        <v>0</v>
      </c>
      <c r="AG16" s="297" t="str">
        <f>IF(H16="","",IF(G16&lt;&gt;0,AC16+AE16,""))</f>
        <v/>
      </c>
      <c r="AH16" s="298" t="str">
        <f>IF(AND(SUMIF('Production Data-Daily Input'!$B:$B,"Total "&amp;A16,'Production Data-Daily Input'!$J:$J)=0,SUMIF('Production Data-Weekly input'!$A:$A,A16,'Production Data-Weekly input'!$I:$I)=0),"",IF(SUMIF('Production Data-Daily Input'!$B:$B,"Total "&amp;A16,'Production Data-Daily Input'!$J:$J)&lt;&gt;0,SUMIF('Production Data-Daily Input'!$B:$B,"Total "&amp;A16,'Production Data-Daily Input'!$J:$J),SUMIF('Production Data-Weekly input'!$A:$A,A16,'Production Data-Weekly input'!$I:$I)))</f>
        <v/>
      </c>
    </row>
    <row r="17" spans="1:34" s="299" customFormat="1" ht="24.95" customHeight="1" x14ac:dyDescent="0.25">
      <c r="A17" s="273">
        <f t="shared" ref="A17:A80" si="2">A16+1</f>
        <v>19</v>
      </c>
      <c r="B17" s="429" t="str">
        <f>'Production Data-Daily Input'!B22</f>
        <v/>
      </c>
      <c r="C17" s="274" t="str">
        <f>IF(IF(AND(SUMIF('Production Data-Daily Input'!$B:$B,"Total "&amp;$A17,'Production Data-Daily Input'!$C:$C)="",SUMIF('Production Data-Weekly input'!$A:$A,A17,'Production Data-Weekly input'!$B:$B)=""),"",IF(SUMIF('Production Data-Daily Input'!$B:$B,"Total "&amp;$A17,'Production Data-Daily Input'!$C:$C)&lt;&gt;0,SUMIF('Production Data-Daily Input'!$B:$B,"Total "&amp;$A17,'Production Data-Daily Input'!$C:$C),SUMIF('Production Data-Weekly input'!$A:$A,A17,'Production Data-Weekly input'!$B:$B)/100*Data!$F$37))=0,"",IF(AND(SUMIF('Production Data-Daily Input'!$B:$B,"Total "&amp;$A17,'Production Data-Daily Input'!$C:$C)="",SUMIF('Production Data-Weekly input'!$A:$A,A17,'Production Data-Weekly input'!$B:$B)=""),"",IF(SUMIF('Production Data-Daily Input'!$B:$B,"Total "&amp;$A17,'Production Data-Daily Input'!$C:$C)&lt;&gt;0,SUMIF('Production Data-Daily Input'!$B:$B,"Total "&amp;$A17,'Production Data-Daily Input'!$C:$C),SUMIF('Production Data-Weekly input'!$A:$A,A17,'Production Data-Weekly input'!$B:$B)/100*Data!$F$37)))</f>
        <v/>
      </c>
      <c r="D17" s="275" t="str">
        <f>IF(AND(SUM(C17:$C$88)=0,SUMIF('Production Data-Daily Input'!$B:$B,"Total "&amp;$A17,'Production Data-Daily Input'!$D:$D)=0,SUMIF('Production Data-Weekly input'!$A:$A,$A17,'Production Data-Weekly input'!$C:$C)=0),"",IF(C17="",D16,C17+D16))</f>
        <v/>
      </c>
      <c r="E17" s="276" t="str">
        <f>IF(F17="","",F17/Data!F$37)</f>
        <v/>
      </c>
      <c r="F17" s="277" t="str">
        <f>IF(D17="","",Data!$F$37-D17)</f>
        <v/>
      </c>
      <c r="G17" s="278" t="str">
        <f>IF(F17="","",IF(SUMIF('Production Data-Daily Input'!$B:$B,"Total "&amp;$A17,'Production Data-Daily Input'!$D:$D)&lt;&gt;0,SUMIF('Production Data-Daily Input'!$B:$B,"Total "&amp;$A17,'Production Data-Daily Input'!$D:$D),IF(SUMIF('Production Data-Weekly input'!$A:$A,$A17,'Production Data-Weekly input'!$C:$C)=0,0,SUMIF('Production Data-Weekly input'!$A:$A,$A17,'Production Data-Weekly input'!$C:$C)/100*7*$F17)))</f>
        <v/>
      </c>
      <c r="H17" s="279" t="str">
        <f>IF(AND(G17="",'Production Data-Weekly input'!C14=""),"",IF(G17="",'Production Data-Weekly input'!C14,G17/F17/7*100))</f>
        <v/>
      </c>
      <c r="I17" s="300" t="str">
        <f>Standard!D9</f>
        <v/>
      </c>
      <c r="J17" s="275">
        <f>IF(G17&lt;&gt;"",G17+J16,0)</f>
        <v>0</v>
      </c>
      <c r="K17" s="281" t="str">
        <f>IF(H17="","",J17/Data!F$37)</f>
        <v/>
      </c>
      <c r="L17" s="301" t="str">
        <f>Standard!F9</f>
        <v/>
      </c>
      <c r="M17" s="283" t="str">
        <f>IF(IF(SUMIF('Production Data-Daily Input'!$B:$B,"Total "&amp;$A17,'Production Data-Daily Input'!$G:$G)&lt;&gt;0,SUMIF('Production Data-Daily Input'!$B:$B,"Total "&amp;$A17,'Production Data-Daily Input'!$G:$G),IF(SUMIF('Production Data-Weekly input'!$A:$A,$A17,'Production Data-Weekly input'!$F:$F)="","",SUMIF('Production Data-Weekly input'!$A:$A,$A17,'Production Data-Weekly input'!$F:$F)))=0,"",IF(SUMIF('Production Data-Daily Input'!$B:$B,"Total "&amp;$A17,'Production Data-Daily Input'!$G:$G)&lt;&gt;0,SUMIF('Production Data-Daily Input'!$B:$B,"Total "&amp;$A17,'Production Data-Daily Input'!$G:$G),IF(SUMIF('Production Data-Weekly input'!$A:$A,$A17,'Production Data-Weekly input'!$F:$F)="","",SUMIF('Production Data-Weekly input'!$A:$A,$A17,'Production Data-Weekly input'!$F:$F))))</f>
        <v/>
      </c>
      <c r="N17" s="302" t="str">
        <f>Standard!G9</f>
        <v/>
      </c>
      <c r="O17" s="285" t="str">
        <f t="shared" si="0"/>
        <v/>
      </c>
      <c r="P17" s="303" t="str">
        <f>Standard!H9</f>
        <v/>
      </c>
      <c r="Q17" s="287" t="str">
        <f>IF(AND(H17="",Q16=""),"",IF(O17="","",IF(M17="",IF(Q16="",0,Q16),(M17*H17/100*7*F17/Data!F$37)+IF(Q16="",0,Q16))))</f>
        <v/>
      </c>
      <c r="R17" s="288" t="str">
        <f>Standard!I9</f>
        <v/>
      </c>
      <c r="S17" s="289" t="str">
        <f>IF(AND(F17="",Q17=""),"",IF(J17&lt;&gt;"",IF(Q17="","",Q17*Data!F$37/J17),""))</f>
        <v/>
      </c>
      <c r="T17" s="290" t="str">
        <f>Standard!J9</f>
        <v/>
      </c>
      <c r="U17" s="291" t="str">
        <f t="shared" si="1"/>
        <v/>
      </c>
      <c r="V17" s="292" t="str">
        <f>IF(F17="","",IF(SUMIF('Production Data-Weekly input'!$A:$A,A17,'Production Data-Weekly input'!$G:$G)&lt;&gt;0,SUMIF('Production Data-Weekly input'!$A:$A,A17,'Production Data-Weekly input'!$G:$G),(SUMIF('Production Data-Daily Input'!$B:$B,"Total "&amp;A17,'Production Data-Daily Input'!$H:$H)*1000/7/F17)))</f>
        <v/>
      </c>
      <c r="W17" s="293" t="str">
        <f t="shared" ref="W17:W80" si="3">IF(U17&lt;&gt;"",U17+W16,"")</f>
        <v/>
      </c>
      <c r="X17" s="293" t="str">
        <f>IF(W17&lt;&gt;"",W17/Data!F$37*1000/((A17-16)*7),"")</f>
        <v/>
      </c>
      <c r="Y17" s="400" t="str">
        <f t="shared" ref="Y17:Y46" si="4">IF(F17="","",IF(OR(J17="",J17=0),"",IF(W17=0,0,W17/J17*1000)))</f>
        <v/>
      </c>
      <c r="Z17" s="294" t="str">
        <f>IF(F17="","",IF(OR(Q17=0,Q17=""),"",IF(W17&lt;&gt;0,W17/(Q17*Data!F$37/1000),"")))</f>
        <v/>
      </c>
      <c r="AA17" s="295" t="str">
        <f>IF(AND(U17=0,SUMIF('Production Data-Weekly input'!$A:$A,$A17,'Production Data-Weekly input'!$H:$H)=0,SUMIF('Production Data-Daily Input'!$B:$B,"Total "&amp;A17,'Production Data-Daily Input'!$I:$I)=0),"",IF(F17="","",IF(SUMIF('Production Data-Weekly input'!$A:$A,$A17,'Production Data-Weekly input'!$H:$H)&lt;&gt;0,SUMIF('Production Data-Weekly input'!$A:$A,$A17,'Production Data-Weekly input'!$H:$H)*7/U17,SUMIF('Production Data-Daily Input'!$B:$B,"Total "&amp;A17,'Production Data-Daily Input'!$I:$I)*7/U17)))</f>
        <v/>
      </c>
      <c r="AB17" s="278">
        <f>SUMIF('Production Data-Daily Input'!$B:$B,"Total "&amp;$A17,'Production Data-Daily Input'!$E:$E)</f>
        <v>0</v>
      </c>
      <c r="AC17" s="296" t="str">
        <f>IF(F17="","",IF(G17&lt;&gt;0,IF(AB17&lt;&gt;0,AB17/G17,'Production Data-Weekly input'!D14/100),""))</f>
        <v/>
      </c>
      <c r="AD17" s="275">
        <f>SUMIF('Production Data-Daily Input'!$B:$B,"Total "&amp;$A17,'Production Data-Daily Input'!$F:$F)</f>
        <v>0</v>
      </c>
      <c r="AE17" s="296" t="str">
        <f>IF(F17="","",IF(G17&lt;&gt;0,IF(AD17&lt;&gt;0,AD17/G17,'Production Data-Weekly input'!E14/100),""))</f>
        <v/>
      </c>
      <c r="AF17" s="275">
        <f t="shared" ref="AF17:AF80" si="5">IF(AB17&gt;0,AB17+AD17,0)</f>
        <v>0</v>
      </c>
      <c r="AG17" s="297" t="str">
        <f>IF(H17="","",IF(G17&lt;&gt;0,AC17+AE17,""))</f>
        <v/>
      </c>
      <c r="AH17" s="298" t="str">
        <f>IF(AND(SUMIF('Production Data-Daily Input'!$B:$B,"Total "&amp;A17,'Production Data-Daily Input'!$J:$J)=0,SUMIF('Production Data-Weekly input'!$A:$A,A17,'Production Data-Weekly input'!$I:$I)=0),"",IF(SUMIF('Production Data-Daily Input'!$B:$B,"Total "&amp;A17,'Production Data-Daily Input'!$J:$J)&lt;&gt;0,SUMIF('Production Data-Daily Input'!$B:$B,"Total "&amp;A17,'Production Data-Daily Input'!$J:$J),SUMIF('Production Data-Weekly input'!$A:$A,A17,'Production Data-Weekly input'!$I:$I)))</f>
        <v/>
      </c>
    </row>
    <row r="18" spans="1:34" s="299" customFormat="1" ht="24.95" customHeight="1" x14ac:dyDescent="0.25">
      <c r="A18" s="273">
        <f t="shared" si="2"/>
        <v>20</v>
      </c>
      <c r="B18" s="429" t="str">
        <f>'Production Data-Daily Input'!B30</f>
        <v/>
      </c>
      <c r="C18" s="274" t="str">
        <f>IF(IF(AND(SUMIF('Production Data-Daily Input'!$B:$B,"Total "&amp;$A18,'Production Data-Daily Input'!$C:$C)="",SUMIF('Production Data-Weekly input'!$A:$A,A18,'Production Data-Weekly input'!$B:$B)=""),"",IF(SUMIF('Production Data-Daily Input'!$B:$B,"Total "&amp;$A18,'Production Data-Daily Input'!$C:$C)&lt;&gt;0,SUMIF('Production Data-Daily Input'!$B:$B,"Total "&amp;$A18,'Production Data-Daily Input'!$C:$C),SUMIF('Production Data-Weekly input'!$A:$A,A18,'Production Data-Weekly input'!$B:$B)/100*Data!$F$37))=0,"",IF(AND(SUMIF('Production Data-Daily Input'!$B:$B,"Total "&amp;$A18,'Production Data-Daily Input'!$C:$C)="",SUMIF('Production Data-Weekly input'!$A:$A,A18,'Production Data-Weekly input'!$B:$B)=""),"",IF(SUMIF('Production Data-Daily Input'!$B:$B,"Total "&amp;$A18,'Production Data-Daily Input'!$C:$C)&lt;&gt;0,SUMIF('Production Data-Daily Input'!$B:$B,"Total "&amp;$A18,'Production Data-Daily Input'!$C:$C),SUMIF('Production Data-Weekly input'!$A:$A,A18,'Production Data-Weekly input'!$B:$B)/100*Data!$F$37)))</f>
        <v/>
      </c>
      <c r="D18" s="275" t="str">
        <f>IF(AND(SUM(C18:$C$88)=0,SUMIF('Production Data-Daily Input'!$B:$B,"Total "&amp;$A18,'Production Data-Daily Input'!$D:$D)=0,SUMIF('Production Data-Weekly input'!$A:$A,$A18,'Production Data-Weekly input'!$C:$C)=0),"",IF(C18="",D17,C18+D17))</f>
        <v/>
      </c>
      <c r="E18" s="276" t="str">
        <f>IF(F18="","",F18/Data!F$37)</f>
        <v/>
      </c>
      <c r="F18" s="277" t="str">
        <f>IF(D18="","",Data!$F$37-D18)</f>
        <v/>
      </c>
      <c r="G18" s="278" t="str">
        <f>IF(F18="","",IF(SUMIF('Production Data-Daily Input'!$B:$B,"Total "&amp;$A18,'Production Data-Daily Input'!$D:$D)&lt;&gt;0,SUMIF('Production Data-Daily Input'!$B:$B,"Total "&amp;$A18,'Production Data-Daily Input'!$D:$D),IF(SUMIF('Production Data-Weekly input'!$A:$A,$A18,'Production Data-Weekly input'!$C:$C)=0,0,SUMIF('Production Data-Weekly input'!$A:$A,$A18,'Production Data-Weekly input'!$C:$C)/100*7*$F18)))</f>
        <v/>
      </c>
      <c r="H18" s="279" t="str">
        <f>IF(AND(G18="",'Production Data-Weekly input'!C15=""),"",IF(G18="",'Production Data-Weekly input'!C15,G18/F18/7*100))</f>
        <v/>
      </c>
      <c r="I18" s="300" t="str">
        <f>Standard!D10</f>
        <v/>
      </c>
      <c r="J18" s="275">
        <f>IF(G18&lt;&gt;"",G18+J17,0)</f>
        <v>0</v>
      </c>
      <c r="K18" s="281" t="str">
        <f>IF(H18="","",J18/Data!F$37)</f>
        <v/>
      </c>
      <c r="L18" s="301" t="str">
        <f>Standard!F10</f>
        <v/>
      </c>
      <c r="M18" s="283" t="str">
        <f>IF(IF(SUMIF('Production Data-Daily Input'!$B:$B,"Total "&amp;$A18,'Production Data-Daily Input'!$G:$G)&lt;&gt;0,SUMIF('Production Data-Daily Input'!$B:$B,"Total "&amp;$A18,'Production Data-Daily Input'!$G:$G),IF(SUMIF('Production Data-Weekly input'!$A:$A,$A18,'Production Data-Weekly input'!$F:$F)="","",SUMIF('Production Data-Weekly input'!$A:$A,$A18,'Production Data-Weekly input'!$F:$F)))=0,"",IF(SUMIF('Production Data-Daily Input'!$B:$B,"Total "&amp;$A18,'Production Data-Daily Input'!$G:$G)&lt;&gt;0,SUMIF('Production Data-Daily Input'!$B:$B,"Total "&amp;$A18,'Production Data-Daily Input'!$G:$G),IF(SUMIF('Production Data-Weekly input'!$A:$A,$A18,'Production Data-Weekly input'!$F:$F)="","",SUMIF('Production Data-Weekly input'!$A:$A,$A18,'Production Data-Weekly input'!$F:$F))))</f>
        <v/>
      </c>
      <c r="N18" s="302" t="str">
        <f>Standard!G10</f>
        <v/>
      </c>
      <c r="O18" s="285" t="str">
        <f t="shared" si="0"/>
        <v/>
      </c>
      <c r="P18" s="303" t="str">
        <f>Standard!H10</f>
        <v/>
      </c>
      <c r="Q18" s="287" t="str">
        <f>IF(AND(H18="",Q17=""),"",IF(O18="","",IF(M18="",IF(Q17="",0,Q17),(M18*H18/100*7*F18/Data!F$37)+IF(Q17="",0,Q17))))</f>
        <v/>
      </c>
      <c r="R18" s="288" t="str">
        <f>Standard!I10</f>
        <v/>
      </c>
      <c r="S18" s="289" t="str">
        <f>IF(AND(F18="",Q18=""),"",IF(J18&lt;&gt;"",IF(Q18="","",Q18*Data!F$37/J18),""))</f>
        <v/>
      </c>
      <c r="T18" s="290" t="str">
        <f>Standard!J10</f>
        <v/>
      </c>
      <c r="U18" s="291" t="str">
        <f t="shared" si="1"/>
        <v/>
      </c>
      <c r="V18" s="292" t="str">
        <f>IF(F18="","",IF(SUMIF('Production Data-Weekly input'!$A:$A,A18,'Production Data-Weekly input'!$G:$G)&lt;&gt;0,SUMIF('Production Data-Weekly input'!$A:$A,A18,'Production Data-Weekly input'!$G:$G),(SUMIF('Production Data-Daily Input'!$B:$B,"Total "&amp;A18,'Production Data-Daily Input'!$H:$H)*1000/7/F18)))</f>
        <v/>
      </c>
      <c r="W18" s="293" t="str">
        <f t="shared" si="3"/>
        <v/>
      </c>
      <c r="X18" s="293" t="str">
        <f>IF(W18&lt;&gt;"",W18/Data!F$37*1000/((A18-16)*7),"")</f>
        <v/>
      </c>
      <c r="Y18" s="400" t="str">
        <f t="shared" si="4"/>
        <v/>
      </c>
      <c r="Z18" s="294" t="str">
        <f>IF(F18="","",IF(OR(Q18=0,Q18=""),"",IF(W18&lt;&gt;0,W18/(Q18*Data!F$37/1000),"")))</f>
        <v/>
      </c>
      <c r="AA18" s="295" t="str">
        <f>IF(AND(U18=0,SUMIF('Production Data-Weekly input'!$A:$A,$A18,'Production Data-Weekly input'!$H:$H)=0,SUMIF('Production Data-Daily Input'!$B:$B,"Total "&amp;A18,'Production Data-Daily Input'!$I:$I)=0),"",IF(F18="","",IF(SUMIF('Production Data-Weekly input'!$A:$A,$A18,'Production Data-Weekly input'!$H:$H)&lt;&gt;0,SUMIF('Production Data-Weekly input'!$A:$A,$A18,'Production Data-Weekly input'!$H:$H)*7/U18,SUMIF('Production Data-Daily Input'!$B:$B,"Total "&amp;A18,'Production Data-Daily Input'!$I:$I)*7/U18)))</f>
        <v/>
      </c>
      <c r="AB18" s="278">
        <f>SUMIF('Production Data-Daily Input'!$B:$B,"Total "&amp;$A18,'Production Data-Daily Input'!$E:$E)</f>
        <v>0</v>
      </c>
      <c r="AC18" s="296" t="str">
        <f>IF(F18="","",IF(G18&lt;&gt;0,IF(AB18&lt;&gt;0,AB18/G18,'Production Data-Weekly input'!D15/100),""))</f>
        <v/>
      </c>
      <c r="AD18" s="275">
        <f>SUMIF('Production Data-Daily Input'!$B:$B,"Total "&amp;$A18,'Production Data-Daily Input'!$F:$F)</f>
        <v>0</v>
      </c>
      <c r="AE18" s="296" t="str">
        <f>IF(F18="","",IF(G18&lt;&gt;0,IF(AD18&lt;&gt;0,AD18/G18,'Production Data-Weekly input'!E15/100),""))</f>
        <v/>
      </c>
      <c r="AF18" s="275">
        <f t="shared" si="5"/>
        <v>0</v>
      </c>
      <c r="AG18" s="297" t="str">
        <f>IF(F18="","",IF(H18&lt;&gt;0,AC18+AE18,""))</f>
        <v/>
      </c>
      <c r="AH18" s="298" t="str">
        <f>IF(AND(SUMIF('Production Data-Daily Input'!$B:$B,"Total "&amp;A18,'Production Data-Daily Input'!$J:$J)=0,SUMIF('Production Data-Weekly input'!$A:$A,A18,'Production Data-Weekly input'!$I:$I)=0),"",IF(SUMIF('Production Data-Daily Input'!$B:$B,"Total "&amp;A18,'Production Data-Daily Input'!$J:$J)&lt;&gt;0,SUMIF('Production Data-Daily Input'!$B:$B,"Total "&amp;A18,'Production Data-Daily Input'!$J:$J),SUMIF('Production Data-Weekly input'!$A:$A,A18,'Production Data-Weekly input'!$I:$I)))</f>
        <v/>
      </c>
    </row>
    <row r="19" spans="1:34" s="299" customFormat="1" ht="24.95" customHeight="1" x14ac:dyDescent="0.25">
      <c r="A19" s="273">
        <f t="shared" si="2"/>
        <v>21</v>
      </c>
      <c r="B19" s="429" t="str">
        <f>'Production Data-Daily Input'!B38</f>
        <v/>
      </c>
      <c r="C19" s="274" t="str">
        <f>IF(IF(AND(SUMIF('Production Data-Daily Input'!$B:$B,"Total "&amp;$A19,'Production Data-Daily Input'!$C:$C)="",SUMIF('Production Data-Weekly input'!$A:$A,A19,'Production Data-Weekly input'!$B:$B)=""),"",IF(SUMIF('Production Data-Daily Input'!$B:$B,"Total "&amp;$A19,'Production Data-Daily Input'!$C:$C)&lt;&gt;0,SUMIF('Production Data-Daily Input'!$B:$B,"Total "&amp;$A19,'Production Data-Daily Input'!$C:$C),SUMIF('Production Data-Weekly input'!$A:$A,A19,'Production Data-Weekly input'!$B:$B)/100*Data!$F$37))=0,"",IF(AND(SUMIF('Production Data-Daily Input'!$B:$B,"Total "&amp;$A19,'Production Data-Daily Input'!$C:$C)="",SUMIF('Production Data-Weekly input'!$A:$A,A19,'Production Data-Weekly input'!$B:$B)=""),"",IF(SUMIF('Production Data-Daily Input'!$B:$B,"Total "&amp;$A19,'Production Data-Daily Input'!$C:$C)&lt;&gt;0,SUMIF('Production Data-Daily Input'!$B:$B,"Total "&amp;$A19,'Production Data-Daily Input'!$C:$C),SUMIF('Production Data-Weekly input'!$A:$A,A19,'Production Data-Weekly input'!$B:$B)/100*Data!$F$37)))</f>
        <v/>
      </c>
      <c r="D19" s="275" t="str">
        <f>IF(AND(SUM(C19:$C$88)=0,SUMIF('Production Data-Daily Input'!$B:$B,"Total "&amp;$A19,'Production Data-Daily Input'!$D:$D)=0,SUMIF('Production Data-Weekly input'!$A:$A,$A19,'Production Data-Weekly input'!$C:$C)=0),"",IF(C19="",D18,C19+D18))</f>
        <v/>
      </c>
      <c r="E19" s="276" t="str">
        <f>IF(F19="","",F19/Data!F$37)</f>
        <v/>
      </c>
      <c r="F19" s="277" t="str">
        <f>IF(D19="","",Data!$F$37-D19)</f>
        <v/>
      </c>
      <c r="G19" s="278" t="str">
        <f>IF(F19="","",IF(SUMIF('Production Data-Daily Input'!$B:$B,"Total "&amp;$A19,'Production Data-Daily Input'!$D:$D)&lt;&gt;0,SUMIF('Production Data-Daily Input'!$B:$B,"Total "&amp;$A19,'Production Data-Daily Input'!$D:$D),IF(SUMIF('Production Data-Weekly input'!$A:$A,$A19,'Production Data-Weekly input'!$C:$C)=0,0,SUMIF('Production Data-Weekly input'!$A:$A,$A19,'Production Data-Weekly input'!$C:$C)/100*7*$F19)))</f>
        <v/>
      </c>
      <c r="H19" s="279" t="str">
        <f>IF(AND(G19="",'Production Data-Weekly input'!C16=""),"",IF(G19="",'Production Data-Weekly input'!C16,G19/F19/7*100))</f>
        <v/>
      </c>
      <c r="I19" s="300" t="str">
        <f>Standard!D11</f>
        <v/>
      </c>
      <c r="J19" s="275">
        <f t="shared" ref="J19:J80" si="6">IF(G19&lt;&gt;"",G19+J18,0)</f>
        <v>0</v>
      </c>
      <c r="K19" s="281" t="str">
        <f>IF(H19="","",J19/Data!F$37)</f>
        <v/>
      </c>
      <c r="L19" s="301" t="str">
        <f>Standard!F11</f>
        <v/>
      </c>
      <c r="M19" s="283" t="str">
        <f>IF(IF(SUMIF('Production Data-Daily Input'!$B:$B,"Total "&amp;$A19,'Production Data-Daily Input'!$G:$G)&lt;&gt;0,SUMIF('Production Data-Daily Input'!$B:$B,"Total "&amp;$A19,'Production Data-Daily Input'!$G:$G),IF(SUMIF('Production Data-Weekly input'!$A:$A,$A19,'Production Data-Weekly input'!$F:$F)="","",SUMIF('Production Data-Weekly input'!$A:$A,$A19,'Production Data-Weekly input'!$F:$F)))=0,"",IF(SUMIF('Production Data-Daily Input'!$B:$B,"Total "&amp;$A19,'Production Data-Daily Input'!$G:$G)&lt;&gt;0,SUMIF('Production Data-Daily Input'!$B:$B,"Total "&amp;$A19,'Production Data-Daily Input'!$G:$G),IF(SUMIF('Production Data-Weekly input'!$A:$A,$A19,'Production Data-Weekly input'!$F:$F)="","",SUMIF('Production Data-Weekly input'!$A:$A,$A19,'Production Data-Weekly input'!$F:$F))))</f>
        <v/>
      </c>
      <c r="N19" s="302" t="str">
        <f>Standard!G11</f>
        <v/>
      </c>
      <c r="O19" s="285" t="str">
        <f t="shared" si="0"/>
        <v/>
      </c>
      <c r="P19" s="303" t="str">
        <f>Standard!H11</f>
        <v/>
      </c>
      <c r="Q19" s="287" t="str">
        <f>IF(AND(H19="",Q18=""),"",IF(O19="","",IF(M19="",IF(Q18="",0,Q18),(M19*H19/100*7*F19/Data!F$37)+IF(Q18="",0,Q18))))</f>
        <v/>
      </c>
      <c r="R19" s="288" t="str">
        <f>Standard!I11</f>
        <v/>
      </c>
      <c r="S19" s="289" t="str">
        <f>IF(AND(F19="",Q19=""),"",IF(J19&lt;&gt;"",IF(Q19="","",Q19*Data!F$37/J19),""))</f>
        <v/>
      </c>
      <c r="T19" s="290" t="str">
        <f>Standard!J11</f>
        <v/>
      </c>
      <c r="U19" s="291" t="str">
        <f t="shared" si="1"/>
        <v/>
      </c>
      <c r="V19" s="292" t="str">
        <f>IF(F19="","",IF(SUMIF('Production Data-Weekly input'!$A:$A,A19,'Production Data-Weekly input'!$G:$G)&lt;&gt;0,SUMIF('Production Data-Weekly input'!$A:$A,A19,'Production Data-Weekly input'!$G:$G),(SUMIF('Production Data-Daily Input'!$B:$B,"Total "&amp;A19,'Production Data-Daily Input'!$H:$H)*1000/7/F19)))</f>
        <v/>
      </c>
      <c r="W19" s="293" t="str">
        <f t="shared" si="3"/>
        <v/>
      </c>
      <c r="X19" s="293" t="str">
        <f>IF(W19&lt;&gt;"",W19/Data!F$37*1000/((A19-16)*7),"")</f>
        <v/>
      </c>
      <c r="Y19" s="400" t="str">
        <f t="shared" si="4"/>
        <v/>
      </c>
      <c r="Z19" s="294" t="str">
        <f>IF(F19="","",IF(OR(Q19=0,Q19=""),"",IF(W19&lt;&gt;0,W19/(Q19*Data!F$37/1000),"")))</f>
        <v/>
      </c>
      <c r="AA19" s="295" t="str">
        <f>IF(AND(U19=0,SUMIF('Production Data-Weekly input'!$A:$A,$A19,'Production Data-Weekly input'!$H:$H)=0,SUMIF('Production Data-Daily Input'!$B:$B,"Total "&amp;A19,'Production Data-Daily Input'!$I:$I)=0),"",IF(F19="","",IF(SUMIF('Production Data-Weekly input'!$A:$A,$A19,'Production Data-Weekly input'!$H:$H)&lt;&gt;0,SUMIF('Production Data-Weekly input'!$A:$A,$A19,'Production Data-Weekly input'!$H:$H)*7/U19,SUMIF('Production Data-Daily Input'!$B:$B,"Total "&amp;A19,'Production Data-Daily Input'!$I:$I)*7/U19)))</f>
        <v/>
      </c>
      <c r="AB19" s="278">
        <f>SUMIF('Production Data-Daily Input'!$B:$B,"Total "&amp;$A19,'Production Data-Daily Input'!$E:$E)</f>
        <v>0</v>
      </c>
      <c r="AC19" s="296" t="str">
        <f>IF(F19="","",IF(G19&lt;&gt;0,IF(AB19&lt;&gt;0,AB19/G19,'Production Data-Weekly input'!D16/100),""))</f>
        <v/>
      </c>
      <c r="AD19" s="275">
        <f>SUMIF('Production Data-Daily Input'!$B:$B,"Total "&amp;$A19,'Production Data-Daily Input'!$F:$F)</f>
        <v>0</v>
      </c>
      <c r="AE19" s="296" t="str">
        <f>IF(F19="","",IF(G19&lt;&gt;0,IF(AD19&lt;&gt;0,AD19/G19,'Production Data-Weekly input'!E16/100),""))</f>
        <v/>
      </c>
      <c r="AF19" s="275">
        <f t="shared" si="5"/>
        <v>0</v>
      </c>
      <c r="AG19" s="297" t="str">
        <f t="shared" ref="AG19:AG50" si="7">IF(F19="","",IF(G19&lt;&gt;0,AC19+AE19,""))</f>
        <v/>
      </c>
      <c r="AH19" s="298" t="str">
        <f>IF(AND(SUMIF('Production Data-Daily Input'!$B:$B,"Total "&amp;A19,'Production Data-Daily Input'!$J:$J)=0,SUMIF('Production Data-Weekly input'!$A:$A,A19,'Production Data-Weekly input'!$I:$I)=0),"",IF(SUMIF('Production Data-Daily Input'!$B:$B,"Total "&amp;A19,'Production Data-Daily Input'!$J:$J)&lt;&gt;0,SUMIF('Production Data-Daily Input'!$B:$B,"Total "&amp;A19,'Production Data-Daily Input'!$J:$J),SUMIF('Production Data-Weekly input'!$A:$A,A19,'Production Data-Weekly input'!$I:$I)))</f>
        <v/>
      </c>
    </row>
    <row r="20" spans="1:34" s="299" customFormat="1" ht="24.95" customHeight="1" x14ac:dyDescent="0.25">
      <c r="A20" s="273">
        <f t="shared" si="2"/>
        <v>22</v>
      </c>
      <c r="B20" s="429" t="str">
        <f>'Production Data-Daily Input'!B46</f>
        <v/>
      </c>
      <c r="C20" s="274" t="str">
        <f>IF(IF(AND(SUMIF('Production Data-Daily Input'!$B:$B,"Total "&amp;$A20,'Production Data-Daily Input'!$C:$C)="",SUMIF('Production Data-Weekly input'!$A:$A,A20,'Production Data-Weekly input'!$B:$B)=""),"",IF(SUMIF('Production Data-Daily Input'!$B:$B,"Total "&amp;$A20,'Production Data-Daily Input'!$C:$C)&lt;&gt;0,SUMIF('Production Data-Daily Input'!$B:$B,"Total "&amp;$A20,'Production Data-Daily Input'!$C:$C),SUMIF('Production Data-Weekly input'!$A:$A,A20,'Production Data-Weekly input'!$B:$B)/100*Data!$F$37))=0,"",IF(AND(SUMIF('Production Data-Daily Input'!$B:$B,"Total "&amp;$A20,'Production Data-Daily Input'!$C:$C)="",SUMIF('Production Data-Weekly input'!$A:$A,A20,'Production Data-Weekly input'!$B:$B)=""),"",IF(SUMIF('Production Data-Daily Input'!$B:$B,"Total "&amp;$A20,'Production Data-Daily Input'!$C:$C)&lt;&gt;0,SUMIF('Production Data-Daily Input'!$B:$B,"Total "&amp;$A20,'Production Data-Daily Input'!$C:$C),SUMIF('Production Data-Weekly input'!$A:$A,A20,'Production Data-Weekly input'!$B:$B)/100*Data!$F$37)))</f>
        <v/>
      </c>
      <c r="D20" s="275" t="str">
        <f>IF(AND(SUM(C20:$C$88)=0,SUMIF('Production Data-Daily Input'!$B:$B,"Total "&amp;$A20,'Production Data-Daily Input'!$D:$D)=0,SUMIF('Production Data-Weekly input'!$A:$A,$A20,'Production Data-Weekly input'!$C:$C)=0),"",IF(C20="",D19,C20+D19))</f>
        <v/>
      </c>
      <c r="E20" s="276" t="str">
        <f>IF(F20="","",F20/Data!F$37)</f>
        <v/>
      </c>
      <c r="F20" s="277" t="str">
        <f>IF(D20="","",Data!$F$37-D20)</f>
        <v/>
      </c>
      <c r="G20" s="278" t="str">
        <f>IF(F20="","",IF(SUMIF('Production Data-Daily Input'!$B:$B,"Total "&amp;$A20,'Production Data-Daily Input'!$D:$D)&lt;&gt;0,SUMIF('Production Data-Daily Input'!$B:$B,"Total "&amp;$A20,'Production Data-Daily Input'!$D:$D),IF(SUMIF('Production Data-Weekly input'!$A:$A,$A20,'Production Data-Weekly input'!$C:$C)=0,0,SUMIF('Production Data-Weekly input'!$A:$A,$A20,'Production Data-Weekly input'!$C:$C)/100*7*$F20)))</f>
        <v/>
      </c>
      <c r="H20" s="279" t="str">
        <f>IF(AND(G20="",'Production Data-Weekly input'!C17=""),"",IF(G20="",'Production Data-Weekly input'!C17,G20/F20/7*100))</f>
        <v/>
      </c>
      <c r="I20" s="300" t="str">
        <f>Standard!D12</f>
        <v/>
      </c>
      <c r="J20" s="275">
        <f t="shared" si="6"/>
        <v>0</v>
      </c>
      <c r="K20" s="281" t="str">
        <f>IF(H20="","",J20/Data!F$37)</f>
        <v/>
      </c>
      <c r="L20" s="301" t="str">
        <f>Standard!F12</f>
        <v/>
      </c>
      <c r="M20" s="283" t="str">
        <f>IF(IF(SUMIF('Production Data-Daily Input'!$B:$B,"Total "&amp;$A20,'Production Data-Daily Input'!$G:$G)&lt;&gt;0,SUMIF('Production Data-Daily Input'!$B:$B,"Total "&amp;$A20,'Production Data-Daily Input'!$G:$G),IF(SUMIF('Production Data-Weekly input'!$A:$A,$A20,'Production Data-Weekly input'!$F:$F)="","",SUMIF('Production Data-Weekly input'!$A:$A,$A20,'Production Data-Weekly input'!$F:$F)))=0,"",IF(SUMIF('Production Data-Daily Input'!$B:$B,"Total "&amp;$A20,'Production Data-Daily Input'!$G:$G)&lt;&gt;0,SUMIF('Production Data-Daily Input'!$B:$B,"Total "&amp;$A20,'Production Data-Daily Input'!$G:$G),IF(SUMIF('Production Data-Weekly input'!$A:$A,$A20,'Production Data-Weekly input'!$F:$F)="","",SUMIF('Production Data-Weekly input'!$A:$A,$A20,'Production Data-Weekly input'!$F:$F))))</f>
        <v/>
      </c>
      <c r="N20" s="302" t="str">
        <f>Standard!G12</f>
        <v/>
      </c>
      <c r="O20" s="285" t="str">
        <f t="shared" si="0"/>
        <v/>
      </c>
      <c r="P20" s="303" t="str">
        <f>Standard!H12</f>
        <v/>
      </c>
      <c r="Q20" s="287" t="str">
        <f>IF(AND(H20="",Q19=""),"",IF(O20="","",IF(M20="",IF(Q19="",0,Q19),(M20*H20/100*7*F20/Data!F$37)+IF(Q19="",0,Q19))))</f>
        <v/>
      </c>
      <c r="R20" s="288" t="str">
        <f>Standard!I12</f>
        <v/>
      </c>
      <c r="S20" s="289" t="str">
        <f>IF(AND(F20="",Q20=""),"",IF(J20&lt;&gt;"",IF(Q20="","",Q20*Data!F$37/J20),""))</f>
        <v/>
      </c>
      <c r="T20" s="290" t="str">
        <f>Standard!J12</f>
        <v/>
      </c>
      <c r="U20" s="291" t="str">
        <f t="shared" si="1"/>
        <v/>
      </c>
      <c r="V20" s="292" t="str">
        <f>IF(F20="","",IF(SUMIF('Production Data-Weekly input'!$A:$A,A20,'Production Data-Weekly input'!$G:$G)&lt;&gt;0,SUMIF('Production Data-Weekly input'!$A:$A,A20,'Production Data-Weekly input'!$G:$G),(SUMIF('Production Data-Daily Input'!$B:$B,"Total "&amp;A20,'Production Data-Daily Input'!$H:$H)*1000/7/F20)))</f>
        <v/>
      </c>
      <c r="W20" s="293" t="str">
        <f t="shared" si="3"/>
        <v/>
      </c>
      <c r="X20" s="293" t="str">
        <f>IF(W20&lt;&gt;"",W20/Data!F$37*1000/((A20-16)*7),"")</f>
        <v/>
      </c>
      <c r="Y20" s="400" t="str">
        <f t="shared" si="4"/>
        <v/>
      </c>
      <c r="Z20" s="294" t="str">
        <f>IF(F20="","",IF(OR(Q20=0,Q20=""),"",IF(W20&lt;&gt;0,W20/(Q20*Data!F$37/1000),"")))</f>
        <v/>
      </c>
      <c r="AA20" s="295" t="str">
        <f>IF(AND(U20=0,SUMIF('Production Data-Weekly input'!$A:$A,$A20,'Production Data-Weekly input'!$H:$H)=0,SUMIF('Production Data-Daily Input'!$B:$B,"Total "&amp;A20,'Production Data-Daily Input'!$I:$I)=0),"",IF(F20="","",IF(SUMIF('Production Data-Weekly input'!$A:$A,$A20,'Production Data-Weekly input'!$H:$H)&lt;&gt;0,SUMIF('Production Data-Weekly input'!$A:$A,$A20,'Production Data-Weekly input'!$H:$H)*7/U20,SUMIF('Production Data-Daily Input'!$B:$B,"Total "&amp;A20,'Production Data-Daily Input'!$I:$I)*7/U20)))</f>
        <v/>
      </c>
      <c r="AB20" s="278">
        <f>SUMIF('Production Data-Daily Input'!$B:$B,"Total "&amp;$A20,'Production Data-Daily Input'!$E:$E)</f>
        <v>0</v>
      </c>
      <c r="AC20" s="296" t="str">
        <f>IF(F20="","",IF(G20&lt;&gt;0,IF(AB20&lt;&gt;0,AB20/G20,'Production Data-Weekly input'!D17/100),""))</f>
        <v/>
      </c>
      <c r="AD20" s="275">
        <f>SUMIF('Production Data-Daily Input'!$B:$B,"Total "&amp;$A20,'Production Data-Daily Input'!$F:$F)</f>
        <v>0</v>
      </c>
      <c r="AE20" s="296" t="str">
        <f>IF(F20="","",IF(G20&lt;&gt;0,IF(AD20&lt;&gt;0,AD20/G20,'Production Data-Weekly input'!E17/100),""))</f>
        <v/>
      </c>
      <c r="AF20" s="275">
        <f t="shared" si="5"/>
        <v>0</v>
      </c>
      <c r="AG20" s="297" t="str">
        <f t="shared" si="7"/>
        <v/>
      </c>
      <c r="AH20" s="298" t="str">
        <f>IF(AND(SUMIF('Production Data-Daily Input'!$B:$B,"Total "&amp;A20,'Production Data-Daily Input'!$J:$J)=0,SUMIF('Production Data-Weekly input'!$A:$A,A20,'Production Data-Weekly input'!$I:$I)=0),"",IF(SUMIF('Production Data-Daily Input'!$B:$B,"Total "&amp;A20,'Production Data-Daily Input'!$J:$J)&lt;&gt;0,SUMIF('Production Data-Daily Input'!$B:$B,"Total "&amp;A20,'Production Data-Daily Input'!$J:$J),SUMIF('Production Data-Weekly input'!$A:$A,A20,'Production Data-Weekly input'!$I:$I)))</f>
        <v/>
      </c>
    </row>
    <row r="21" spans="1:34" s="299" customFormat="1" ht="24.95" customHeight="1" x14ac:dyDescent="0.25">
      <c r="A21" s="273">
        <f t="shared" si="2"/>
        <v>23</v>
      </c>
      <c r="B21" s="429" t="str">
        <f>'Production Data-Daily Input'!B54</f>
        <v/>
      </c>
      <c r="C21" s="274" t="str">
        <f>IF(IF(AND(SUMIF('Production Data-Daily Input'!$B:$B,"Total "&amp;$A21,'Production Data-Daily Input'!$C:$C)="",SUMIF('Production Data-Weekly input'!$A:$A,A21,'Production Data-Weekly input'!$B:$B)=""),"",IF(SUMIF('Production Data-Daily Input'!$B:$B,"Total "&amp;$A21,'Production Data-Daily Input'!$C:$C)&lt;&gt;0,SUMIF('Production Data-Daily Input'!$B:$B,"Total "&amp;$A21,'Production Data-Daily Input'!$C:$C),SUMIF('Production Data-Weekly input'!$A:$A,A21,'Production Data-Weekly input'!$B:$B)/100*Data!$F$37))=0,"",IF(AND(SUMIF('Production Data-Daily Input'!$B:$B,"Total "&amp;$A21,'Production Data-Daily Input'!$C:$C)="",SUMIF('Production Data-Weekly input'!$A:$A,A21,'Production Data-Weekly input'!$B:$B)=""),"",IF(SUMIF('Production Data-Daily Input'!$B:$B,"Total "&amp;$A21,'Production Data-Daily Input'!$C:$C)&lt;&gt;0,SUMIF('Production Data-Daily Input'!$B:$B,"Total "&amp;$A21,'Production Data-Daily Input'!$C:$C),SUMIF('Production Data-Weekly input'!$A:$A,A21,'Production Data-Weekly input'!$B:$B)/100*Data!$F$37)))</f>
        <v/>
      </c>
      <c r="D21" s="275" t="str">
        <f>IF(AND(SUM(C21:$C$88)=0,SUMIF('Production Data-Daily Input'!$B:$B,"Total "&amp;$A21,'Production Data-Daily Input'!$D:$D)=0,SUMIF('Production Data-Weekly input'!$A:$A,$A21,'Production Data-Weekly input'!$C:$C)=0),"",IF(C21="",D20,C21+D20))</f>
        <v/>
      </c>
      <c r="E21" s="276" t="str">
        <f>IF(F21="","",F21/Data!F$37)</f>
        <v/>
      </c>
      <c r="F21" s="277" t="str">
        <f>IF(D21="","",Data!$F$37-D21)</f>
        <v/>
      </c>
      <c r="G21" s="278" t="str">
        <f>IF(F21="","",IF(SUMIF('Production Data-Daily Input'!$B:$B,"Total "&amp;$A21,'Production Data-Daily Input'!$D:$D)&lt;&gt;0,SUMIF('Production Data-Daily Input'!$B:$B,"Total "&amp;$A21,'Production Data-Daily Input'!$D:$D),IF(SUMIF('Production Data-Weekly input'!$A:$A,$A21,'Production Data-Weekly input'!$C:$C)=0,0,SUMIF('Production Data-Weekly input'!$A:$A,$A21,'Production Data-Weekly input'!$C:$C)/100*7*$F21)))</f>
        <v/>
      </c>
      <c r="H21" s="279" t="str">
        <f>IF(AND(G21="",'Production Data-Weekly input'!C18=""),"",IF(G21="",'Production Data-Weekly input'!C18,G21/F21/7*100))</f>
        <v/>
      </c>
      <c r="I21" s="300" t="str">
        <f>Standard!D13</f>
        <v/>
      </c>
      <c r="J21" s="275">
        <f t="shared" si="6"/>
        <v>0</v>
      </c>
      <c r="K21" s="281" t="str">
        <f>IF(H21="","",J21/Data!F$37)</f>
        <v/>
      </c>
      <c r="L21" s="301" t="str">
        <f>Standard!F13</f>
        <v/>
      </c>
      <c r="M21" s="283" t="str">
        <f>IF(IF(SUMIF('Production Data-Daily Input'!$B:$B,"Total "&amp;$A21,'Production Data-Daily Input'!$G:$G)&lt;&gt;0,SUMIF('Production Data-Daily Input'!$B:$B,"Total "&amp;$A21,'Production Data-Daily Input'!$G:$G),IF(SUMIF('Production Data-Weekly input'!$A:$A,$A21,'Production Data-Weekly input'!$F:$F)="","",SUMIF('Production Data-Weekly input'!$A:$A,$A21,'Production Data-Weekly input'!$F:$F)))=0,"",IF(SUMIF('Production Data-Daily Input'!$B:$B,"Total "&amp;$A21,'Production Data-Daily Input'!$G:$G)&lt;&gt;0,SUMIF('Production Data-Daily Input'!$B:$B,"Total "&amp;$A21,'Production Data-Daily Input'!$G:$G),IF(SUMIF('Production Data-Weekly input'!$A:$A,$A21,'Production Data-Weekly input'!$F:$F)="","",SUMIF('Production Data-Weekly input'!$A:$A,$A21,'Production Data-Weekly input'!$F:$F))))</f>
        <v/>
      </c>
      <c r="N21" s="302" t="str">
        <f>Standard!G13</f>
        <v/>
      </c>
      <c r="O21" s="285" t="str">
        <f t="shared" si="0"/>
        <v/>
      </c>
      <c r="P21" s="303" t="str">
        <f>Standard!H13</f>
        <v/>
      </c>
      <c r="Q21" s="287" t="str">
        <f>IF(AND(H21="",Q20=""),"",IF(O21="","",IF(M21="",IF(Q20="",0,Q20),(M21*H21/100*7*F21/Data!F$37)+IF(Q20="",0,Q20))))</f>
        <v/>
      </c>
      <c r="R21" s="288" t="str">
        <f>Standard!I13</f>
        <v/>
      </c>
      <c r="S21" s="289" t="str">
        <f>IF(AND(F21="",Q21=""),"",IF(J21&lt;&gt;"",IF(Q21="","",Q21*Data!F$37/J21),""))</f>
        <v/>
      </c>
      <c r="T21" s="290" t="str">
        <f>Standard!J13</f>
        <v/>
      </c>
      <c r="U21" s="291" t="str">
        <f t="shared" si="1"/>
        <v/>
      </c>
      <c r="V21" s="292" t="str">
        <f>IF(F21="","",IF(SUMIF('Production Data-Weekly input'!$A:$A,A21,'Production Data-Weekly input'!$G:$G)&lt;&gt;0,SUMIF('Production Data-Weekly input'!$A:$A,A21,'Production Data-Weekly input'!$G:$G),(SUMIF('Production Data-Daily Input'!$B:$B,"Total "&amp;A21,'Production Data-Daily Input'!$H:$H)*1000/7/F21)))</f>
        <v/>
      </c>
      <c r="W21" s="293" t="str">
        <f t="shared" si="3"/>
        <v/>
      </c>
      <c r="X21" s="293" t="str">
        <f>IF(W21&lt;&gt;"",W21/Data!F$37*1000/((A21-16)*7),"")</f>
        <v/>
      </c>
      <c r="Y21" s="400" t="str">
        <f t="shared" si="4"/>
        <v/>
      </c>
      <c r="Z21" s="294" t="str">
        <f>IF(F21="","",IF(OR(Q21=0,Q21=""),"",IF(W21&lt;&gt;0,W21/(Q21*Data!F$37/1000),"")))</f>
        <v/>
      </c>
      <c r="AA21" s="295" t="str">
        <f>IF(AND(U21=0,SUMIF('Production Data-Weekly input'!$A:$A,$A21,'Production Data-Weekly input'!$H:$H)=0,SUMIF('Production Data-Daily Input'!$B:$B,"Total "&amp;A21,'Production Data-Daily Input'!$I:$I)=0),"",IF(F21="","",IF(SUMIF('Production Data-Weekly input'!$A:$A,$A21,'Production Data-Weekly input'!$H:$H)&lt;&gt;0,SUMIF('Production Data-Weekly input'!$A:$A,$A21,'Production Data-Weekly input'!$H:$H)*7/U21,SUMIF('Production Data-Daily Input'!$B:$B,"Total "&amp;A21,'Production Data-Daily Input'!$I:$I)*7/U21)))</f>
        <v/>
      </c>
      <c r="AB21" s="278">
        <f>SUMIF('Production Data-Daily Input'!$B:$B,"Total "&amp;$A21,'Production Data-Daily Input'!$E:$E)</f>
        <v>0</v>
      </c>
      <c r="AC21" s="296" t="str">
        <f>IF(F21="","",IF(G21&lt;&gt;0,IF(AB21&lt;&gt;0,AB21/G21,'Production Data-Weekly input'!D18/100),""))</f>
        <v/>
      </c>
      <c r="AD21" s="275">
        <f>SUMIF('Production Data-Daily Input'!$B:$B,"Total "&amp;$A21,'Production Data-Daily Input'!$F:$F)</f>
        <v>0</v>
      </c>
      <c r="AE21" s="296" t="str">
        <f>IF(F21="","",IF(G21&lt;&gt;0,IF(AD21&lt;&gt;0,AD21/G21,'Production Data-Weekly input'!E18/100),""))</f>
        <v/>
      </c>
      <c r="AF21" s="275">
        <f t="shared" si="5"/>
        <v>0</v>
      </c>
      <c r="AG21" s="297" t="str">
        <f t="shared" si="7"/>
        <v/>
      </c>
      <c r="AH21" s="298" t="str">
        <f>IF(AND(SUMIF('Production Data-Daily Input'!$B:$B,"Total "&amp;A21,'Production Data-Daily Input'!$J:$J)=0,SUMIF('Production Data-Weekly input'!$A:$A,A21,'Production Data-Weekly input'!$I:$I)=0),"",IF(SUMIF('Production Data-Daily Input'!$B:$B,"Total "&amp;A21,'Production Data-Daily Input'!$J:$J)&lt;&gt;0,SUMIF('Production Data-Daily Input'!$B:$B,"Total "&amp;A21,'Production Data-Daily Input'!$J:$J),SUMIF('Production Data-Weekly input'!$A:$A,A21,'Production Data-Weekly input'!$I:$I)))</f>
        <v/>
      </c>
    </row>
    <row r="22" spans="1:34" s="299" customFormat="1" ht="24.95" customHeight="1" x14ac:dyDescent="0.25">
      <c r="A22" s="273">
        <f t="shared" si="2"/>
        <v>24</v>
      </c>
      <c r="B22" s="429" t="str">
        <f>'Production Data-Daily Input'!B62</f>
        <v/>
      </c>
      <c r="C22" s="274" t="str">
        <f>IF(IF(AND(SUMIF('Production Data-Daily Input'!$B:$B,"Total "&amp;$A22,'Production Data-Daily Input'!$C:$C)="",SUMIF('Production Data-Weekly input'!$A:$A,A22,'Production Data-Weekly input'!$B:$B)=""),"",IF(SUMIF('Production Data-Daily Input'!$B:$B,"Total "&amp;$A22,'Production Data-Daily Input'!$C:$C)&lt;&gt;0,SUMIF('Production Data-Daily Input'!$B:$B,"Total "&amp;$A22,'Production Data-Daily Input'!$C:$C),SUMIF('Production Data-Weekly input'!$A:$A,A22,'Production Data-Weekly input'!$B:$B)/100*Data!$F$37))=0,"",IF(AND(SUMIF('Production Data-Daily Input'!$B:$B,"Total "&amp;$A22,'Production Data-Daily Input'!$C:$C)="",SUMIF('Production Data-Weekly input'!$A:$A,A22,'Production Data-Weekly input'!$B:$B)=""),"",IF(SUMIF('Production Data-Daily Input'!$B:$B,"Total "&amp;$A22,'Production Data-Daily Input'!$C:$C)&lt;&gt;0,SUMIF('Production Data-Daily Input'!$B:$B,"Total "&amp;$A22,'Production Data-Daily Input'!$C:$C),SUMIF('Production Data-Weekly input'!$A:$A,A22,'Production Data-Weekly input'!$B:$B)/100*Data!$F$37)))</f>
        <v/>
      </c>
      <c r="D22" s="275" t="str">
        <f>IF(AND(SUM(C22:$C$88)=0,SUMIF('Production Data-Daily Input'!$B:$B,"Total "&amp;$A22,'Production Data-Daily Input'!$D:$D)=0,SUMIF('Production Data-Weekly input'!$A:$A,$A22,'Production Data-Weekly input'!$C:$C)=0),"",IF(C22="",D21,C22+D21))</f>
        <v/>
      </c>
      <c r="E22" s="276" t="str">
        <f>IF(F22="","",F22/Data!F$37)</f>
        <v/>
      </c>
      <c r="F22" s="277" t="str">
        <f>IF(D22="","",Data!$F$37-D22)</f>
        <v/>
      </c>
      <c r="G22" s="278" t="str">
        <f>IF(F22="","",IF(SUMIF('Production Data-Daily Input'!$B:$B,"Total "&amp;$A22,'Production Data-Daily Input'!$D:$D)&lt;&gt;0,SUMIF('Production Data-Daily Input'!$B:$B,"Total "&amp;$A22,'Production Data-Daily Input'!$D:$D),IF(SUMIF('Production Data-Weekly input'!$A:$A,$A22,'Production Data-Weekly input'!$C:$C)=0,0,SUMIF('Production Data-Weekly input'!$A:$A,$A22,'Production Data-Weekly input'!$C:$C)/100*7*$F22)))</f>
        <v/>
      </c>
      <c r="H22" s="279" t="str">
        <f>IF(AND(G22="",'Production Data-Weekly input'!C19=""),"",IF(G22="",'Production Data-Weekly input'!C19,G22/F22/7*100))</f>
        <v/>
      </c>
      <c r="I22" s="300" t="str">
        <f>Standard!D14</f>
        <v/>
      </c>
      <c r="J22" s="275">
        <f t="shared" si="6"/>
        <v>0</v>
      </c>
      <c r="K22" s="281" t="str">
        <f>IF(H22="","",J22/Data!F$37)</f>
        <v/>
      </c>
      <c r="L22" s="301" t="str">
        <f>Standard!F14</f>
        <v/>
      </c>
      <c r="M22" s="283" t="str">
        <f>IF(IF(SUMIF('Production Data-Daily Input'!$B:$B,"Total "&amp;$A22,'Production Data-Daily Input'!$G:$G)&lt;&gt;0,SUMIF('Production Data-Daily Input'!$B:$B,"Total "&amp;$A22,'Production Data-Daily Input'!$G:$G),IF(SUMIF('Production Data-Weekly input'!$A:$A,$A22,'Production Data-Weekly input'!$F:$F)="","",SUMIF('Production Data-Weekly input'!$A:$A,$A22,'Production Data-Weekly input'!$F:$F)))=0,"",IF(SUMIF('Production Data-Daily Input'!$B:$B,"Total "&amp;$A22,'Production Data-Daily Input'!$G:$G)&lt;&gt;0,SUMIF('Production Data-Daily Input'!$B:$B,"Total "&amp;$A22,'Production Data-Daily Input'!$G:$G),IF(SUMIF('Production Data-Weekly input'!$A:$A,$A22,'Production Data-Weekly input'!$F:$F)="","",SUMIF('Production Data-Weekly input'!$A:$A,$A22,'Production Data-Weekly input'!$F:$F))))</f>
        <v/>
      </c>
      <c r="N22" s="302" t="str">
        <f>Standard!G14</f>
        <v/>
      </c>
      <c r="O22" s="285" t="str">
        <f t="shared" si="0"/>
        <v/>
      </c>
      <c r="P22" s="303" t="str">
        <f>Standard!H14</f>
        <v/>
      </c>
      <c r="Q22" s="287" t="str">
        <f>IF(AND(H22="",Q21=""),"",IF(O22="","",IF(M22="",IF(Q21="",0,Q21),(M22*H22/100*7*F22/Data!F$37)+IF(Q21="",0,Q21))))</f>
        <v/>
      </c>
      <c r="R22" s="288" t="str">
        <f>Standard!I14</f>
        <v/>
      </c>
      <c r="S22" s="289" t="str">
        <f>IF(AND(F22="",Q22=""),"",IF(J22&lt;&gt;"",IF(Q22="","",Q22*Data!F$37/J22),""))</f>
        <v/>
      </c>
      <c r="T22" s="290" t="str">
        <f>Standard!J14</f>
        <v/>
      </c>
      <c r="U22" s="291" t="str">
        <f t="shared" si="1"/>
        <v/>
      </c>
      <c r="V22" s="292" t="str">
        <f>IF(F22="","",IF(SUMIF('Production Data-Weekly input'!$A:$A,A22,'Production Data-Weekly input'!$G:$G)&lt;&gt;0,SUMIF('Production Data-Weekly input'!$A:$A,A22,'Production Data-Weekly input'!$G:$G),(SUMIF('Production Data-Daily Input'!$B:$B,"Total "&amp;A22,'Production Data-Daily Input'!$H:$H)*1000/7/F22)))</f>
        <v/>
      </c>
      <c r="W22" s="293" t="str">
        <f t="shared" si="3"/>
        <v/>
      </c>
      <c r="X22" s="293" t="str">
        <f>IF(W22&lt;&gt;"",W22/Data!F$37*1000/((A22-16)*7),"")</f>
        <v/>
      </c>
      <c r="Y22" s="400" t="str">
        <f t="shared" si="4"/>
        <v/>
      </c>
      <c r="Z22" s="294" t="str">
        <f>IF(F22="","",IF(OR(Q22=0,Q22=""),"",IF(W22&lt;&gt;0,W22/(Q22*Data!F$37/1000),"")))</f>
        <v/>
      </c>
      <c r="AA22" s="295" t="str">
        <f>IF(AND(U22=0,SUMIF('Production Data-Weekly input'!$A:$A,$A22,'Production Data-Weekly input'!$H:$H)=0,SUMIF('Production Data-Daily Input'!$B:$B,"Total "&amp;A22,'Production Data-Daily Input'!$I:$I)=0),"",IF(F22="","",IF(SUMIF('Production Data-Weekly input'!$A:$A,$A22,'Production Data-Weekly input'!$H:$H)&lt;&gt;0,SUMIF('Production Data-Weekly input'!$A:$A,$A22,'Production Data-Weekly input'!$H:$H)*7/U22,SUMIF('Production Data-Daily Input'!$B:$B,"Total "&amp;A22,'Production Data-Daily Input'!$I:$I)*7/U22)))</f>
        <v/>
      </c>
      <c r="AB22" s="278">
        <f>SUMIF('Production Data-Daily Input'!$B:$B,"Total "&amp;$A22,'Production Data-Daily Input'!$E:$E)</f>
        <v>0</v>
      </c>
      <c r="AC22" s="296" t="str">
        <f>IF(F22="","",IF(G22&lt;&gt;0,IF(AB22&lt;&gt;0,AB22/G22,'Production Data-Weekly input'!D19/100),""))</f>
        <v/>
      </c>
      <c r="AD22" s="275">
        <f>SUMIF('Production Data-Daily Input'!$B:$B,"Total "&amp;$A22,'Production Data-Daily Input'!$F:$F)</f>
        <v>0</v>
      </c>
      <c r="AE22" s="296" t="str">
        <f>IF(F22="","",IF(G22&lt;&gt;0,IF(AD22&lt;&gt;0,AD22/G22,'Production Data-Weekly input'!E19/100),""))</f>
        <v/>
      </c>
      <c r="AF22" s="275">
        <f t="shared" si="5"/>
        <v>0</v>
      </c>
      <c r="AG22" s="297" t="str">
        <f t="shared" si="7"/>
        <v/>
      </c>
      <c r="AH22" s="298" t="str">
        <f>IF(AND(SUMIF('Production Data-Daily Input'!$B:$B,"Total "&amp;A22,'Production Data-Daily Input'!$J:$J)=0,SUMIF('Production Data-Weekly input'!$A:$A,A22,'Production Data-Weekly input'!$I:$I)=0),"",IF(SUMIF('Production Data-Daily Input'!$B:$B,"Total "&amp;A22,'Production Data-Daily Input'!$J:$J)&lt;&gt;0,SUMIF('Production Data-Daily Input'!$B:$B,"Total "&amp;A22,'Production Data-Daily Input'!$J:$J),SUMIF('Production Data-Weekly input'!$A:$A,A22,'Production Data-Weekly input'!$I:$I)))</f>
        <v/>
      </c>
    </row>
    <row r="23" spans="1:34" s="299" customFormat="1" ht="24.95" customHeight="1" x14ac:dyDescent="0.25">
      <c r="A23" s="273">
        <f t="shared" si="2"/>
        <v>25</v>
      </c>
      <c r="B23" s="429" t="str">
        <f>'Production Data-Daily Input'!B70</f>
        <v/>
      </c>
      <c r="C23" s="274" t="str">
        <f>IF(IF(AND(SUMIF('Production Data-Daily Input'!$B:$B,"Total "&amp;$A23,'Production Data-Daily Input'!$C:$C)="",SUMIF('Production Data-Weekly input'!$A:$A,A23,'Production Data-Weekly input'!$B:$B)=""),"",IF(SUMIF('Production Data-Daily Input'!$B:$B,"Total "&amp;$A23,'Production Data-Daily Input'!$C:$C)&lt;&gt;0,SUMIF('Production Data-Daily Input'!$B:$B,"Total "&amp;$A23,'Production Data-Daily Input'!$C:$C),SUMIF('Production Data-Weekly input'!$A:$A,A23,'Production Data-Weekly input'!$B:$B)/100*Data!$F$37))=0,"",IF(AND(SUMIF('Production Data-Daily Input'!$B:$B,"Total "&amp;$A23,'Production Data-Daily Input'!$C:$C)="",SUMIF('Production Data-Weekly input'!$A:$A,A23,'Production Data-Weekly input'!$B:$B)=""),"",IF(SUMIF('Production Data-Daily Input'!$B:$B,"Total "&amp;$A23,'Production Data-Daily Input'!$C:$C)&lt;&gt;0,SUMIF('Production Data-Daily Input'!$B:$B,"Total "&amp;$A23,'Production Data-Daily Input'!$C:$C),SUMIF('Production Data-Weekly input'!$A:$A,A23,'Production Data-Weekly input'!$B:$B)/100*Data!$F$37)))</f>
        <v/>
      </c>
      <c r="D23" s="275" t="str">
        <f>IF(AND(SUM(C23:$C$88)=0,SUMIF('Production Data-Daily Input'!$B:$B,"Total "&amp;$A23,'Production Data-Daily Input'!$D:$D)=0,SUMIF('Production Data-Weekly input'!$A:$A,$A23,'Production Data-Weekly input'!$C:$C)=0),"",IF(C23="",D22,C23+D22))</f>
        <v/>
      </c>
      <c r="E23" s="276" t="str">
        <f>IF(F23="","",F23/Data!F$37)</f>
        <v/>
      </c>
      <c r="F23" s="277" t="str">
        <f>IF(D23="","",Data!$F$37-D23)</f>
        <v/>
      </c>
      <c r="G23" s="278" t="str">
        <f>IF(F23="","",IF(SUMIF('Production Data-Daily Input'!$B:$B,"Total "&amp;$A23,'Production Data-Daily Input'!$D:$D)&lt;&gt;0,SUMIF('Production Data-Daily Input'!$B:$B,"Total "&amp;$A23,'Production Data-Daily Input'!$D:$D),IF(SUMIF('Production Data-Weekly input'!$A:$A,$A23,'Production Data-Weekly input'!$C:$C)=0,0,SUMIF('Production Data-Weekly input'!$A:$A,$A23,'Production Data-Weekly input'!$C:$C)/100*7*$F23)))</f>
        <v/>
      </c>
      <c r="H23" s="279" t="str">
        <f>IF(AND(G23="",'Production Data-Weekly input'!C20=""),"",IF(G23="",'Production Data-Weekly input'!C20,G23/F23/7*100))</f>
        <v/>
      </c>
      <c r="I23" s="300" t="str">
        <f>Standard!D15</f>
        <v/>
      </c>
      <c r="J23" s="275">
        <f t="shared" si="6"/>
        <v>0</v>
      </c>
      <c r="K23" s="281" t="str">
        <f>IF(H23="","",J23/Data!F$37)</f>
        <v/>
      </c>
      <c r="L23" s="301" t="str">
        <f>Standard!F15</f>
        <v/>
      </c>
      <c r="M23" s="283" t="str">
        <f>IF(IF(SUMIF('Production Data-Daily Input'!$B:$B,"Total "&amp;$A23,'Production Data-Daily Input'!$G:$G)&lt;&gt;0,SUMIF('Production Data-Daily Input'!$B:$B,"Total "&amp;$A23,'Production Data-Daily Input'!$G:$G),IF(SUMIF('Production Data-Weekly input'!$A:$A,$A23,'Production Data-Weekly input'!$F:$F)="","",SUMIF('Production Data-Weekly input'!$A:$A,$A23,'Production Data-Weekly input'!$F:$F)))=0,"",IF(SUMIF('Production Data-Daily Input'!$B:$B,"Total "&amp;$A23,'Production Data-Daily Input'!$G:$G)&lt;&gt;0,SUMIF('Production Data-Daily Input'!$B:$B,"Total "&amp;$A23,'Production Data-Daily Input'!$G:$G),IF(SUMIF('Production Data-Weekly input'!$A:$A,$A23,'Production Data-Weekly input'!$F:$F)="","",SUMIF('Production Data-Weekly input'!$A:$A,$A23,'Production Data-Weekly input'!$F:$F))))</f>
        <v/>
      </c>
      <c r="N23" s="302" t="str">
        <f>Standard!G15</f>
        <v/>
      </c>
      <c r="O23" s="285" t="str">
        <f t="shared" si="0"/>
        <v/>
      </c>
      <c r="P23" s="303" t="str">
        <f>Standard!H15</f>
        <v/>
      </c>
      <c r="Q23" s="287" t="str">
        <f>IF(Q22="","",IF(AND(H23="",Q22=""),"",IF(O23="","",IF(M23="",IF(Q22="",0,Q22),(M23*H23/100*7*F23/Data!F$37)+IF(Q22="",0,Q22)))))</f>
        <v/>
      </c>
      <c r="R23" s="288" t="str">
        <f>Standard!I15</f>
        <v/>
      </c>
      <c r="S23" s="289" t="str">
        <f>IF(AND(F23="",Q23=""),"",IF(J23&lt;&gt;"",IF(Q23="","",Q23*Data!F$37/J23),""))</f>
        <v/>
      </c>
      <c r="T23" s="290" t="str">
        <f>Standard!J15</f>
        <v/>
      </c>
      <c r="U23" s="291" t="str">
        <f t="shared" si="1"/>
        <v/>
      </c>
      <c r="V23" s="292" t="str">
        <f>IF(F23="","",IF(SUMIF('Production Data-Weekly input'!$A:$A,A23,'Production Data-Weekly input'!$G:$G)&lt;&gt;0,SUMIF('Production Data-Weekly input'!$A:$A,A23,'Production Data-Weekly input'!$G:$G),(SUMIF('Production Data-Daily Input'!$B:$B,"Total "&amp;A23,'Production Data-Daily Input'!$H:$H)*1000/7/F23)))</f>
        <v/>
      </c>
      <c r="W23" s="293" t="str">
        <f t="shared" si="3"/>
        <v/>
      </c>
      <c r="X23" s="293" t="str">
        <f>IF(W23&lt;&gt;"",W23/Data!F$37*1000/((A23-16)*7),"")</f>
        <v/>
      </c>
      <c r="Y23" s="400" t="str">
        <f t="shared" si="4"/>
        <v/>
      </c>
      <c r="Z23" s="294" t="str">
        <f>IF(F23="","",IF(OR(Q23=0,Q23=""),"",IF(W23&lt;&gt;0,W23/(Q23*Data!F$37/1000),"")))</f>
        <v/>
      </c>
      <c r="AA23" s="295" t="str">
        <f>IF(AND(U23=0,SUMIF('Production Data-Weekly input'!$A:$A,$A23,'Production Data-Weekly input'!$H:$H)=0,SUMIF('Production Data-Daily Input'!$B:$B,"Total "&amp;A23,'Production Data-Daily Input'!$I:$I)=0),"",IF(F23="","",IF(SUMIF('Production Data-Weekly input'!$A:$A,$A23,'Production Data-Weekly input'!$H:$H)&lt;&gt;0,SUMIF('Production Data-Weekly input'!$A:$A,$A23,'Production Data-Weekly input'!$H:$H)*7/U23,SUMIF('Production Data-Daily Input'!$B:$B,"Total "&amp;A23,'Production Data-Daily Input'!$I:$I)*7/U23)))</f>
        <v/>
      </c>
      <c r="AB23" s="278">
        <f>SUMIF('Production Data-Daily Input'!$B:$B,"Total "&amp;$A23,'Production Data-Daily Input'!$E:$E)</f>
        <v>0</v>
      </c>
      <c r="AC23" s="296" t="str">
        <f>IF(F23="","",IF(G23&lt;&gt;0,IF(AB23&lt;&gt;0,AB23/G23,'Production Data-Weekly input'!D20/100),""))</f>
        <v/>
      </c>
      <c r="AD23" s="275">
        <f>SUMIF('Production Data-Daily Input'!$B:$B,"Total "&amp;$A23,'Production Data-Daily Input'!$F:$F)</f>
        <v>0</v>
      </c>
      <c r="AE23" s="296" t="str">
        <f>IF(F23="","",IF(G23&lt;&gt;0,IF(AD23&lt;&gt;0,AD23/G23,'Production Data-Weekly input'!E20/100),""))</f>
        <v/>
      </c>
      <c r="AF23" s="275">
        <f t="shared" si="5"/>
        <v>0</v>
      </c>
      <c r="AG23" s="297" t="str">
        <f t="shared" si="7"/>
        <v/>
      </c>
      <c r="AH23" s="298" t="str">
        <f>IF(AND(SUMIF('Production Data-Daily Input'!$B:$B,"Total "&amp;A23,'Production Data-Daily Input'!$J:$J)=0,SUMIF('Production Data-Weekly input'!$A:$A,A23,'Production Data-Weekly input'!$I:$I)=0),"",IF(SUMIF('Production Data-Daily Input'!$B:$B,"Total "&amp;A23,'Production Data-Daily Input'!$J:$J)&lt;&gt;0,SUMIF('Production Data-Daily Input'!$B:$B,"Total "&amp;A23,'Production Data-Daily Input'!$J:$J),SUMIF('Production Data-Weekly input'!$A:$A,A23,'Production Data-Weekly input'!$I:$I)))</f>
        <v/>
      </c>
    </row>
    <row r="24" spans="1:34" s="299" customFormat="1" ht="24.95" customHeight="1" x14ac:dyDescent="0.25">
      <c r="A24" s="273">
        <f t="shared" si="2"/>
        <v>26</v>
      </c>
      <c r="B24" s="429" t="str">
        <f>'Production Data-Daily Input'!B78</f>
        <v/>
      </c>
      <c r="C24" s="274" t="str">
        <f>IF(IF(AND(SUMIF('Production Data-Daily Input'!$B:$B,"Total "&amp;$A24,'Production Data-Daily Input'!$C:$C)="",SUMIF('Production Data-Weekly input'!$A:$A,A24,'Production Data-Weekly input'!$B:$B)=""),"",IF(SUMIF('Production Data-Daily Input'!$B:$B,"Total "&amp;$A24,'Production Data-Daily Input'!$C:$C)&lt;&gt;0,SUMIF('Production Data-Daily Input'!$B:$B,"Total "&amp;$A24,'Production Data-Daily Input'!$C:$C),SUMIF('Production Data-Weekly input'!$A:$A,A24,'Production Data-Weekly input'!$B:$B)/100*Data!$F$37))=0,"",IF(AND(SUMIF('Production Data-Daily Input'!$B:$B,"Total "&amp;$A24,'Production Data-Daily Input'!$C:$C)="",SUMIF('Production Data-Weekly input'!$A:$A,A24,'Production Data-Weekly input'!$B:$B)=""),"",IF(SUMIF('Production Data-Daily Input'!$B:$B,"Total "&amp;$A24,'Production Data-Daily Input'!$C:$C)&lt;&gt;0,SUMIF('Production Data-Daily Input'!$B:$B,"Total "&amp;$A24,'Production Data-Daily Input'!$C:$C),SUMIF('Production Data-Weekly input'!$A:$A,A24,'Production Data-Weekly input'!$B:$B)/100*Data!$F$37)))</f>
        <v/>
      </c>
      <c r="D24" s="275" t="str">
        <f>IF(AND(SUM(C24:$C$88)=0,SUMIF('Production Data-Daily Input'!$B:$B,"Total "&amp;$A24,'Production Data-Daily Input'!$D:$D)=0,SUMIF('Production Data-Weekly input'!$A:$A,$A24,'Production Data-Weekly input'!$C:$C)=0),"",IF(C24="",D23,C24+D23))</f>
        <v/>
      </c>
      <c r="E24" s="276" t="str">
        <f>IF(F24="","",F24/Data!F$37)</f>
        <v/>
      </c>
      <c r="F24" s="277" t="str">
        <f>IF(D24="","",Data!$F$37-D24)</f>
        <v/>
      </c>
      <c r="G24" s="278" t="str">
        <f>IF(F24="","",IF(SUMIF('Production Data-Daily Input'!$B:$B,"Total "&amp;$A24,'Production Data-Daily Input'!$D:$D)&lt;&gt;0,SUMIF('Production Data-Daily Input'!$B:$B,"Total "&amp;$A24,'Production Data-Daily Input'!$D:$D),IF(SUMIF('Production Data-Weekly input'!$A:$A,$A24,'Production Data-Weekly input'!$C:$C)=0,0,SUMIF('Production Data-Weekly input'!$A:$A,$A24,'Production Data-Weekly input'!$C:$C)/100*7*$F24)))</f>
        <v/>
      </c>
      <c r="H24" s="279" t="str">
        <f>IF(AND(G24="",'Production Data-Weekly input'!C21=""),"",IF(G24="",'Production Data-Weekly input'!C21,G24/F24/7*100))</f>
        <v/>
      </c>
      <c r="I24" s="300" t="str">
        <f>Standard!D16</f>
        <v/>
      </c>
      <c r="J24" s="275">
        <f t="shared" si="6"/>
        <v>0</v>
      </c>
      <c r="K24" s="281" t="str">
        <f>IF(H24="","",J24/Data!F$37)</f>
        <v/>
      </c>
      <c r="L24" s="301" t="str">
        <f>Standard!F16</f>
        <v/>
      </c>
      <c r="M24" s="283" t="str">
        <f>IF(IF(SUMIF('Production Data-Daily Input'!$B:$B,"Total "&amp;$A24,'Production Data-Daily Input'!$G:$G)&lt;&gt;0,SUMIF('Production Data-Daily Input'!$B:$B,"Total "&amp;$A24,'Production Data-Daily Input'!$G:$G),IF(SUMIF('Production Data-Weekly input'!$A:$A,$A24,'Production Data-Weekly input'!$F:$F)="","",SUMIF('Production Data-Weekly input'!$A:$A,$A24,'Production Data-Weekly input'!$F:$F)))=0,"",IF(SUMIF('Production Data-Daily Input'!$B:$B,"Total "&amp;$A24,'Production Data-Daily Input'!$G:$G)&lt;&gt;0,SUMIF('Production Data-Daily Input'!$B:$B,"Total "&amp;$A24,'Production Data-Daily Input'!$G:$G),IF(SUMIF('Production Data-Weekly input'!$A:$A,$A24,'Production Data-Weekly input'!$F:$F)="","",SUMIF('Production Data-Weekly input'!$A:$A,$A24,'Production Data-Weekly input'!$F:$F))))</f>
        <v/>
      </c>
      <c r="N24" s="302" t="str">
        <f>Standard!G16</f>
        <v/>
      </c>
      <c r="O24" s="285" t="str">
        <f t="shared" si="0"/>
        <v/>
      </c>
      <c r="P24" s="303" t="str">
        <f>Standard!H16</f>
        <v/>
      </c>
      <c r="Q24" s="287" t="str">
        <f>IF(Q23="","",IF(AND(H24="",Q23=""),"",IF(O24="","",IF(M24="",IF(Q23="",0,Q23),(M24*H24/100*7*F24/Data!F$37)+IF(Q23="",0,Q23)))))</f>
        <v/>
      </c>
      <c r="R24" s="288" t="str">
        <f>Standard!I16</f>
        <v/>
      </c>
      <c r="S24" s="289" t="str">
        <f>IF(AND(F24="",Q24=""),"",IF(J24&lt;&gt;"",IF(Q24="","",Q24*Data!F$37/J24),""))</f>
        <v/>
      </c>
      <c r="T24" s="290" t="str">
        <f>Standard!J16</f>
        <v/>
      </c>
      <c r="U24" s="291" t="str">
        <f t="shared" si="1"/>
        <v/>
      </c>
      <c r="V24" s="292" t="str">
        <f>IF(F24="","",IF(SUMIF('Production Data-Weekly input'!$A:$A,A24,'Production Data-Weekly input'!$G:$G)&lt;&gt;0,SUMIF('Production Data-Weekly input'!$A:$A,A24,'Production Data-Weekly input'!$G:$G),(SUMIF('Production Data-Daily Input'!$B:$B,"Total "&amp;A24,'Production Data-Daily Input'!$H:$H)*1000/7/F24)))</f>
        <v/>
      </c>
      <c r="W24" s="293" t="str">
        <f t="shared" si="3"/>
        <v/>
      </c>
      <c r="X24" s="293" t="str">
        <f>IF(W24&lt;&gt;"",W24/Data!F$37*1000/((A24-16)*7),"")</f>
        <v/>
      </c>
      <c r="Y24" s="400" t="str">
        <f t="shared" si="4"/>
        <v/>
      </c>
      <c r="Z24" s="294" t="str">
        <f>IF(F24="","",IF(OR(Q24=0,Q24=""),"",IF(W24&lt;&gt;0,W24/(Q24*Data!F$37/1000),"")))</f>
        <v/>
      </c>
      <c r="AA24" s="295" t="str">
        <f>IF(AND(U24=0,SUMIF('Production Data-Weekly input'!$A:$A,$A24,'Production Data-Weekly input'!$H:$H)=0,SUMIF('Production Data-Daily Input'!$B:$B,"Total "&amp;A24,'Production Data-Daily Input'!$I:$I)=0),"",IF(F24="","",IF(SUMIF('Production Data-Weekly input'!$A:$A,$A24,'Production Data-Weekly input'!$H:$H)&lt;&gt;0,SUMIF('Production Data-Weekly input'!$A:$A,$A24,'Production Data-Weekly input'!$H:$H)*7/U24,SUMIF('Production Data-Daily Input'!$B:$B,"Total "&amp;A24,'Production Data-Daily Input'!$I:$I)*7/U24)))</f>
        <v/>
      </c>
      <c r="AB24" s="278">
        <f>SUMIF('Production Data-Daily Input'!$B:$B,"Total "&amp;$A24,'Production Data-Daily Input'!$E:$E)</f>
        <v>0</v>
      </c>
      <c r="AC24" s="296" t="str">
        <f>IF(F24="","",IF(G24&lt;&gt;0,IF(AB24&lt;&gt;0,AB24/G24,'Production Data-Weekly input'!D21/100),""))</f>
        <v/>
      </c>
      <c r="AD24" s="275">
        <f>SUMIF('Production Data-Daily Input'!$B:$B,"Total "&amp;$A24,'Production Data-Daily Input'!$F:$F)</f>
        <v>0</v>
      </c>
      <c r="AE24" s="296" t="str">
        <f>IF(F24="","",IF(G24&lt;&gt;0,IF(AD24&lt;&gt;0,AD24/G24,'Production Data-Weekly input'!E21/100),""))</f>
        <v/>
      </c>
      <c r="AF24" s="275">
        <f t="shared" si="5"/>
        <v>0</v>
      </c>
      <c r="AG24" s="297" t="str">
        <f t="shared" si="7"/>
        <v/>
      </c>
      <c r="AH24" s="298" t="str">
        <f>IF(AND(SUMIF('Production Data-Daily Input'!$B:$B,"Total "&amp;A24,'Production Data-Daily Input'!$J:$J)=0,SUMIF('Production Data-Weekly input'!$A:$A,A24,'Production Data-Weekly input'!$I:$I)=0),"",IF(SUMIF('Production Data-Daily Input'!$B:$B,"Total "&amp;A24,'Production Data-Daily Input'!$J:$J)&lt;&gt;0,SUMIF('Production Data-Daily Input'!$B:$B,"Total "&amp;A24,'Production Data-Daily Input'!$J:$J),SUMIF('Production Data-Weekly input'!$A:$A,A24,'Production Data-Weekly input'!$I:$I)))</f>
        <v/>
      </c>
    </row>
    <row r="25" spans="1:34" s="299" customFormat="1" ht="24.95" customHeight="1" x14ac:dyDescent="0.25">
      <c r="A25" s="273">
        <f t="shared" si="2"/>
        <v>27</v>
      </c>
      <c r="B25" s="429" t="str">
        <f>'Production Data-Daily Input'!B86</f>
        <v/>
      </c>
      <c r="C25" s="274" t="str">
        <f>IF(IF(AND(SUMIF('Production Data-Daily Input'!$B:$B,"Total "&amp;$A25,'Production Data-Daily Input'!$C:$C)="",SUMIF('Production Data-Weekly input'!$A:$A,A25,'Production Data-Weekly input'!$B:$B)=""),"",IF(SUMIF('Production Data-Daily Input'!$B:$B,"Total "&amp;$A25,'Production Data-Daily Input'!$C:$C)&lt;&gt;0,SUMIF('Production Data-Daily Input'!$B:$B,"Total "&amp;$A25,'Production Data-Daily Input'!$C:$C),SUMIF('Production Data-Weekly input'!$A:$A,A25,'Production Data-Weekly input'!$B:$B)/100*Data!$F$37))=0,"",IF(AND(SUMIF('Production Data-Daily Input'!$B:$B,"Total "&amp;$A25,'Production Data-Daily Input'!$C:$C)="",SUMIF('Production Data-Weekly input'!$A:$A,A25,'Production Data-Weekly input'!$B:$B)=""),"",IF(SUMIF('Production Data-Daily Input'!$B:$B,"Total "&amp;$A25,'Production Data-Daily Input'!$C:$C)&lt;&gt;0,SUMIF('Production Data-Daily Input'!$B:$B,"Total "&amp;$A25,'Production Data-Daily Input'!$C:$C),SUMIF('Production Data-Weekly input'!$A:$A,A25,'Production Data-Weekly input'!$B:$B)/100*Data!$F$37)))</f>
        <v/>
      </c>
      <c r="D25" s="275" t="str">
        <f>IF(AND(SUM(C25:$C$88)=0,SUMIF('Production Data-Daily Input'!$B:$B,"Total "&amp;$A25,'Production Data-Daily Input'!$D:$D)=0,SUMIF('Production Data-Weekly input'!$A:$A,$A25,'Production Data-Weekly input'!$C:$C)=0),"",IF(C25="",D24,C25+D24))</f>
        <v/>
      </c>
      <c r="E25" s="276" t="str">
        <f>IF(F25="","",F25/Data!F$37)</f>
        <v/>
      </c>
      <c r="F25" s="277" t="str">
        <f>IF(D25="","",Data!$F$37-D25)</f>
        <v/>
      </c>
      <c r="G25" s="278" t="str">
        <f>IF(F25="","",IF(SUMIF('Production Data-Daily Input'!$B:$B,"Total "&amp;$A25,'Production Data-Daily Input'!$D:$D)&lt;&gt;0,SUMIF('Production Data-Daily Input'!$B:$B,"Total "&amp;$A25,'Production Data-Daily Input'!$D:$D),IF(SUMIF('Production Data-Weekly input'!$A:$A,$A25,'Production Data-Weekly input'!$C:$C)=0,0,SUMIF('Production Data-Weekly input'!$A:$A,$A25,'Production Data-Weekly input'!$C:$C)/100*7*$F25)))</f>
        <v/>
      </c>
      <c r="H25" s="279" t="str">
        <f>IF(AND(G25="",'Production Data-Weekly input'!C22=""),"",IF(G25="",'Production Data-Weekly input'!C22,G25/F25/7*100))</f>
        <v/>
      </c>
      <c r="I25" s="300" t="str">
        <f>Standard!D17</f>
        <v/>
      </c>
      <c r="J25" s="275">
        <f t="shared" si="6"/>
        <v>0</v>
      </c>
      <c r="K25" s="281" t="str">
        <f>IF(H25="","",J25/Data!F$37)</f>
        <v/>
      </c>
      <c r="L25" s="301" t="str">
        <f>Standard!F17</f>
        <v/>
      </c>
      <c r="M25" s="283" t="str">
        <f>IF(IF(SUMIF('Production Data-Daily Input'!$B:$B,"Total "&amp;$A25,'Production Data-Daily Input'!$G:$G)&lt;&gt;0,SUMIF('Production Data-Daily Input'!$B:$B,"Total "&amp;$A25,'Production Data-Daily Input'!$G:$G),IF(SUMIF('Production Data-Weekly input'!$A:$A,$A25,'Production Data-Weekly input'!$F:$F)="","",SUMIF('Production Data-Weekly input'!$A:$A,$A25,'Production Data-Weekly input'!$F:$F)))=0,"",IF(SUMIF('Production Data-Daily Input'!$B:$B,"Total "&amp;$A25,'Production Data-Daily Input'!$G:$G)&lt;&gt;0,SUMIF('Production Data-Daily Input'!$B:$B,"Total "&amp;$A25,'Production Data-Daily Input'!$G:$G),IF(SUMIF('Production Data-Weekly input'!$A:$A,$A25,'Production Data-Weekly input'!$F:$F)="","",SUMIF('Production Data-Weekly input'!$A:$A,$A25,'Production Data-Weekly input'!$F:$F))))</f>
        <v/>
      </c>
      <c r="N25" s="302" t="str">
        <f>Standard!G17</f>
        <v/>
      </c>
      <c r="O25" s="285" t="str">
        <f t="shared" si="0"/>
        <v/>
      </c>
      <c r="P25" s="303" t="str">
        <f>Standard!H17</f>
        <v/>
      </c>
      <c r="Q25" s="287" t="str">
        <f>IF(Q24="","",IF(AND(H25="",Q24=""),"",IF(O25="","",IF(M25="",IF(Q24="",0,Q24),(M25*H25/100*7*F25/Data!F$37)+IF(Q24="",0,Q24)))))</f>
        <v/>
      </c>
      <c r="R25" s="288" t="str">
        <f>Standard!I17</f>
        <v/>
      </c>
      <c r="S25" s="289" t="str">
        <f>IF(AND(F25="",Q25=""),"",IF(J25&lt;&gt;"",IF(Q25="","",Q25*Data!F$37/J25),""))</f>
        <v/>
      </c>
      <c r="T25" s="290" t="str">
        <f>Standard!J17</f>
        <v/>
      </c>
      <c r="U25" s="291" t="str">
        <f t="shared" si="1"/>
        <v/>
      </c>
      <c r="V25" s="292" t="str">
        <f>IF(F25="","",IF(SUMIF('Production Data-Weekly input'!$A:$A,A25,'Production Data-Weekly input'!$G:$G)&lt;&gt;0,SUMIF('Production Data-Weekly input'!$A:$A,A25,'Production Data-Weekly input'!$G:$G),(SUMIF('Production Data-Daily Input'!$B:$B,"Total "&amp;A25,'Production Data-Daily Input'!$H:$H)*1000/7/F25)))</f>
        <v/>
      </c>
      <c r="W25" s="293" t="str">
        <f t="shared" si="3"/>
        <v/>
      </c>
      <c r="X25" s="293" t="str">
        <f>IF(W25&lt;&gt;"",W25/Data!F$37*1000/((A25-16)*7),"")</f>
        <v/>
      </c>
      <c r="Y25" s="400" t="str">
        <f t="shared" si="4"/>
        <v/>
      </c>
      <c r="Z25" s="294" t="str">
        <f>IF(F25="","",IF(OR(Q25=0,Q25=""),"",IF(W25&lt;&gt;0,W25/(Q25*Data!F$37/1000),"")))</f>
        <v/>
      </c>
      <c r="AA25" s="295" t="str">
        <f>IF(AND(U25=0,SUMIF('Production Data-Weekly input'!$A:$A,$A25,'Production Data-Weekly input'!$H:$H)=0,SUMIF('Production Data-Daily Input'!$B:$B,"Total "&amp;A25,'Production Data-Daily Input'!$I:$I)=0),"",IF(F25="","",IF(SUMIF('Production Data-Weekly input'!$A:$A,$A25,'Production Data-Weekly input'!$H:$H)&lt;&gt;0,SUMIF('Production Data-Weekly input'!$A:$A,$A25,'Production Data-Weekly input'!$H:$H)*7/U25,SUMIF('Production Data-Daily Input'!$B:$B,"Total "&amp;A25,'Production Data-Daily Input'!$I:$I)*7/U25)))</f>
        <v/>
      </c>
      <c r="AB25" s="278">
        <f>SUMIF('Production Data-Daily Input'!$B:$B,"Total "&amp;$A25,'Production Data-Daily Input'!$E:$E)</f>
        <v>0</v>
      </c>
      <c r="AC25" s="296" t="str">
        <f>IF(F25="","",IF(G25&lt;&gt;0,IF(AB25&lt;&gt;0,AB25/G25,'Production Data-Weekly input'!D22/100),""))</f>
        <v/>
      </c>
      <c r="AD25" s="275">
        <f>SUMIF('Production Data-Daily Input'!$B:$B,"Total "&amp;$A25,'Production Data-Daily Input'!$F:$F)</f>
        <v>0</v>
      </c>
      <c r="AE25" s="296" t="str">
        <f>IF(F25="","",IF(G25&lt;&gt;0,IF(AD25&lt;&gt;0,AD25/G25,'Production Data-Weekly input'!E22/100),""))</f>
        <v/>
      </c>
      <c r="AF25" s="275">
        <f t="shared" si="5"/>
        <v>0</v>
      </c>
      <c r="AG25" s="297" t="str">
        <f t="shared" si="7"/>
        <v/>
      </c>
      <c r="AH25" s="298" t="str">
        <f>IF(AND(SUMIF('Production Data-Daily Input'!$B:$B,"Total "&amp;A25,'Production Data-Daily Input'!$J:$J)=0,SUMIF('Production Data-Weekly input'!$A:$A,A25,'Production Data-Weekly input'!$I:$I)=0),"",IF(SUMIF('Production Data-Daily Input'!$B:$B,"Total "&amp;A25,'Production Data-Daily Input'!$J:$J)&lt;&gt;0,SUMIF('Production Data-Daily Input'!$B:$B,"Total "&amp;A25,'Production Data-Daily Input'!$J:$J),SUMIF('Production Data-Weekly input'!$A:$A,A25,'Production Data-Weekly input'!$I:$I)))</f>
        <v/>
      </c>
    </row>
    <row r="26" spans="1:34" s="299" customFormat="1" ht="24.95" customHeight="1" x14ac:dyDescent="0.25">
      <c r="A26" s="273">
        <f t="shared" si="2"/>
        <v>28</v>
      </c>
      <c r="B26" s="429" t="str">
        <f>'Production Data-Daily Input'!B94</f>
        <v/>
      </c>
      <c r="C26" s="274" t="str">
        <f>IF(IF(AND(SUMIF('Production Data-Daily Input'!$B:$B,"Total "&amp;$A26,'Production Data-Daily Input'!$C:$C)="",SUMIF('Production Data-Weekly input'!$A:$A,A26,'Production Data-Weekly input'!$B:$B)=""),"",IF(SUMIF('Production Data-Daily Input'!$B:$B,"Total "&amp;$A26,'Production Data-Daily Input'!$C:$C)&lt;&gt;0,SUMIF('Production Data-Daily Input'!$B:$B,"Total "&amp;$A26,'Production Data-Daily Input'!$C:$C),SUMIF('Production Data-Weekly input'!$A:$A,A26,'Production Data-Weekly input'!$B:$B)/100*Data!$F$37))=0,"",IF(AND(SUMIF('Production Data-Daily Input'!$B:$B,"Total "&amp;$A26,'Production Data-Daily Input'!$C:$C)="",SUMIF('Production Data-Weekly input'!$A:$A,A26,'Production Data-Weekly input'!$B:$B)=""),"",IF(SUMIF('Production Data-Daily Input'!$B:$B,"Total "&amp;$A26,'Production Data-Daily Input'!$C:$C)&lt;&gt;0,SUMIF('Production Data-Daily Input'!$B:$B,"Total "&amp;$A26,'Production Data-Daily Input'!$C:$C),SUMIF('Production Data-Weekly input'!$A:$A,A26,'Production Data-Weekly input'!$B:$B)/100*Data!$F$37)))</f>
        <v/>
      </c>
      <c r="D26" s="275" t="str">
        <f>IF(AND(SUM(C26:$C$88)=0,SUMIF('Production Data-Daily Input'!$B:$B,"Total "&amp;$A26,'Production Data-Daily Input'!$D:$D)=0,SUMIF('Production Data-Weekly input'!$A:$A,$A26,'Production Data-Weekly input'!$C:$C)=0),"",IF(C26="",D25,C26+D25))</f>
        <v/>
      </c>
      <c r="E26" s="276" t="str">
        <f>IF(F26="","",F26/Data!F$37)</f>
        <v/>
      </c>
      <c r="F26" s="277" t="str">
        <f>IF(D26="","",Data!$F$37-D26)</f>
        <v/>
      </c>
      <c r="G26" s="278" t="str">
        <f>IF(F26="","",IF(SUMIF('Production Data-Daily Input'!$B:$B,"Total "&amp;$A26,'Production Data-Daily Input'!$D:$D)&lt;&gt;0,SUMIF('Production Data-Daily Input'!$B:$B,"Total "&amp;$A26,'Production Data-Daily Input'!$D:$D),IF(SUMIF('Production Data-Weekly input'!$A:$A,$A26,'Production Data-Weekly input'!$C:$C)=0,0,SUMIF('Production Data-Weekly input'!$A:$A,$A26,'Production Data-Weekly input'!$C:$C)/100*7*$F26)))</f>
        <v/>
      </c>
      <c r="H26" s="279" t="str">
        <f>IF(AND(G26="",'Production Data-Weekly input'!C23=""),"",IF(G26="",'Production Data-Weekly input'!C23,G26/F26/7*100))</f>
        <v/>
      </c>
      <c r="I26" s="300" t="str">
        <f>Standard!D18</f>
        <v/>
      </c>
      <c r="J26" s="275">
        <f t="shared" si="6"/>
        <v>0</v>
      </c>
      <c r="K26" s="281" t="str">
        <f>IF(H26="","",J26/Data!F$37)</f>
        <v/>
      </c>
      <c r="L26" s="301" t="str">
        <f>Standard!F18</f>
        <v/>
      </c>
      <c r="M26" s="283" t="str">
        <f>IF(IF(SUMIF('Production Data-Daily Input'!$B:$B,"Total "&amp;$A26,'Production Data-Daily Input'!$G:$G)&lt;&gt;0,SUMIF('Production Data-Daily Input'!$B:$B,"Total "&amp;$A26,'Production Data-Daily Input'!$G:$G),IF(SUMIF('Production Data-Weekly input'!$A:$A,$A26,'Production Data-Weekly input'!$F:$F)="","",SUMIF('Production Data-Weekly input'!$A:$A,$A26,'Production Data-Weekly input'!$F:$F)))=0,"",IF(SUMIF('Production Data-Daily Input'!$B:$B,"Total "&amp;$A26,'Production Data-Daily Input'!$G:$G)&lt;&gt;0,SUMIF('Production Data-Daily Input'!$B:$B,"Total "&amp;$A26,'Production Data-Daily Input'!$G:$G),IF(SUMIF('Production Data-Weekly input'!$A:$A,$A26,'Production Data-Weekly input'!$F:$F)="","",SUMIF('Production Data-Weekly input'!$A:$A,$A26,'Production Data-Weekly input'!$F:$F))))</f>
        <v/>
      </c>
      <c r="N26" s="302" t="str">
        <f>Standard!G18</f>
        <v/>
      </c>
      <c r="O26" s="285" t="str">
        <f t="shared" si="0"/>
        <v/>
      </c>
      <c r="P26" s="303" t="str">
        <f>Standard!H18</f>
        <v/>
      </c>
      <c r="Q26" s="287" t="str">
        <f>IF(Q25="","",IF(AND(H26="",Q25=""),"",IF(O26="","",IF(M26="",IF(Q25="",0,Q25),(M26*H26/100*7*F26/Data!F$37)+IF(Q25="",0,Q25)))))</f>
        <v/>
      </c>
      <c r="R26" s="288" t="str">
        <f>Standard!I18</f>
        <v/>
      </c>
      <c r="S26" s="289" t="str">
        <f>IF(AND(F26="",Q26=""),"",IF(J26&lt;&gt;"",IF(Q26="","",Q26*Data!F$37/J26),""))</f>
        <v/>
      </c>
      <c r="T26" s="290" t="str">
        <f>Standard!J18</f>
        <v/>
      </c>
      <c r="U26" s="291" t="str">
        <f t="shared" si="1"/>
        <v/>
      </c>
      <c r="V26" s="292" t="str">
        <f>IF(F26="","",IF(SUMIF('Production Data-Weekly input'!$A:$A,A26,'Production Data-Weekly input'!$G:$G)&lt;&gt;0,SUMIF('Production Data-Weekly input'!$A:$A,A26,'Production Data-Weekly input'!$G:$G),(SUMIF('Production Data-Daily Input'!$B:$B,"Total "&amp;A26,'Production Data-Daily Input'!$H:$H)*1000/7/F26)))</f>
        <v/>
      </c>
      <c r="W26" s="293" t="str">
        <f t="shared" si="3"/>
        <v/>
      </c>
      <c r="X26" s="293" t="str">
        <f>IF(W26&lt;&gt;"",W26/Data!F$37*1000/((A26-16)*7),"")</f>
        <v/>
      </c>
      <c r="Y26" s="400" t="str">
        <f t="shared" si="4"/>
        <v/>
      </c>
      <c r="Z26" s="294" t="str">
        <f>IF(F26="","",IF(OR(Q26=0,Q26=""),"",IF(W26&lt;&gt;0,W26/(Q26*Data!F$37/1000),"")))</f>
        <v/>
      </c>
      <c r="AA26" s="295" t="str">
        <f>IF(AND(U26=0,SUMIF('Production Data-Weekly input'!$A:$A,$A26,'Production Data-Weekly input'!$H:$H)=0,SUMIF('Production Data-Daily Input'!$B:$B,"Total "&amp;A26,'Production Data-Daily Input'!$I:$I)=0),"",IF(F26="","",IF(SUMIF('Production Data-Weekly input'!$A:$A,$A26,'Production Data-Weekly input'!$H:$H)&lt;&gt;0,SUMIF('Production Data-Weekly input'!$A:$A,$A26,'Production Data-Weekly input'!$H:$H)*7/U26,SUMIF('Production Data-Daily Input'!$B:$B,"Total "&amp;A26,'Production Data-Daily Input'!$I:$I)*7/U26)))</f>
        <v/>
      </c>
      <c r="AB26" s="278">
        <f>SUMIF('Production Data-Daily Input'!$B:$B,"Total "&amp;$A26,'Production Data-Daily Input'!$E:$E)</f>
        <v>0</v>
      </c>
      <c r="AC26" s="296" t="str">
        <f>IF(F26="","",IF(G26&lt;&gt;0,IF(AB26&lt;&gt;0,AB26/G26,'Production Data-Weekly input'!D23/100),""))</f>
        <v/>
      </c>
      <c r="AD26" s="275">
        <f>SUMIF('Production Data-Daily Input'!$B:$B,"Total "&amp;$A26,'Production Data-Daily Input'!$F:$F)</f>
        <v>0</v>
      </c>
      <c r="AE26" s="296" t="str">
        <f>IF(F26="","",IF(G26&lt;&gt;0,IF(AD26&lt;&gt;0,AD26/G26,'Production Data-Weekly input'!E23/100),""))</f>
        <v/>
      </c>
      <c r="AF26" s="275">
        <f t="shared" si="5"/>
        <v>0</v>
      </c>
      <c r="AG26" s="297" t="str">
        <f t="shared" si="7"/>
        <v/>
      </c>
      <c r="AH26" s="298" t="str">
        <f>IF(AND(SUMIF('Production Data-Daily Input'!$B:$B,"Total "&amp;A26,'Production Data-Daily Input'!$J:$J)=0,SUMIF('Production Data-Weekly input'!$A:$A,A26,'Production Data-Weekly input'!$I:$I)=0),"",IF(SUMIF('Production Data-Daily Input'!$B:$B,"Total "&amp;A26,'Production Data-Daily Input'!$J:$J)&lt;&gt;0,SUMIF('Production Data-Daily Input'!$B:$B,"Total "&amp;A26,'Production Data-Daily Input'!$J:$J),SUMIF('Production Data-Weekly input'!$A:$A,A26,'Production Data-Weekly input'!$I:$I)))</f>
        <v/>
      </c>
    </row>
    <row r="27" spans="1:34" s="299" customFormat="1" ht="24.95" customHeight="1" x14ac:dyDescent="0.25">
      <c r="A27" s="273">
        <f t="shared" si="2"/>
        <v>29</v>
      </c>
      <c r="B27" s="429" t="str">
        <f>'Production Data-Daily Input'!B102</f>
        <v/>
      </c>
      <c r="C27" s="274" t="str">
        <f>IF(IF(AND(SUMIF('Production Data-Daily Input'!$B:$B,"Total "&amp;$A27,'Production Data-Daily Input'!$C:$C)="",SUMIF('Production Data-Weekly input'!$A:$A,A27,'Production Data-Weekly input'!$B:$B)=""),"",IF(SUMIF('Production Data-Daily Input'!$B:$B,"Total "&amp;$A27,'Production Data-Daily Input'!$C:$C)&lt;&gt;0,SUMIF('Production Data-Daily Input'!$B:$B,"Total "&amp;$A27,'Production Data-Daily Input'!$C:$C),SUMIF('Production Data-Weekly input'!$A:$A,A27,'Production Data-Weekly input'!$B:$B)/100*Data!$F$37))=0,"",IF(AND(SUMIF('Production Data-Daily Input'!$B:$B,"Total "&amp;$A27,'Production Data-Daily Input'!$C:$C)="",SUMIF('Production Data-Weekly input'!$A:$A,A27,'Production Data-Weekly input'!$B:$B)=""),"",IF(SUMIF('Production Data-Daily Input'!$B:$B,"Total "&amp;$A27,'Production Data-Daily Input'!$C:$C)&lt;&gt;0,SUMIF('Production Data-Daily Input'!$B:$B,"Total "&amp;$A27,'Production Data-Daily Input'!$C:$C),SUMIF('Production Data-Weekly input'!$A:$A,A27,'Production Data-Weekly input'!$B:$B)/100*Data!$F$37)))</f>
        <v/>
      </c>
      <c r="D27" s="275" t="str">
        <f>IF(AND(SUM(C27:$C$88)=0,SUMIF('Production Data-Daily Input'!$B:$B,"Total "&amp;$A27,'Production Data-Daily Input'!$D:$D)=0,SUMIF('Production Data-Weekly input'!$A:$A,$A27,'Production Data-Weekly input'!$C:$C)=0),"",IF(C27="",D26,C27+D26))</f>
        <v/>
      </c>
      <c r="E27" s="276" t="str">
        <f>IF(F27="","",F27/Data!F$37)</f>
        <v/>
      </c>
      <c r="F27" s="277" t="str">
        <f>IF(D27="","",Data!$F$37-D27)</f>
        <v/>
      </c>
      <c r="G27" s="278" t="str">
        <f>IF(F27="","",IF(SUMIF('Production Data-Daily Input'!$B:$B,"Total "&amp;$A27,'Production Data-Daily Input'!$D:$D)&lt;&gt;0,SUMIF('Production Data-Daily Input'!$B:$B,"Total "&amp;$A27,'Production Data-Daily Input'!$D:$D),IF(SUMIF('Production Data-Weekly input'!$A:$A,$A27,'Production Data-Weekly input'!$C:$C)=0,0,SUMIF('Production Data-Weekly input'!$A:$A,$A27,'Production Data-Weekly input'!$C:$C)/100*7*$F27)))</f>
        <v/>
      </c>
      <c r="H27" s="279" t="str">
        <f>IF(AND(G27="",'Production Data-Weekly input'!C24=""),"",IF(G27="",'Production Data-Weekly input'!C24,G27/F27/7*100))</f>
        <v/>
      </c>
      <c r="I27" s="300" t="str">
        <f>Standard!D19</f>
        <v/>
      </c>
      <c r="J27" s="275">
        <f t="shared" si="6"/>
        <v>0</v>
      </c>
      <c r="K27" s="281" t="str">
        <f>IF(H27="","",J27/Data!F$37)</f>
        <v/>
      </c>
      <c r="L27" s="301" t="str">
        <f>Standard!F19</f>
        <v/>
      </c>
      <c r="M27" s="283" t="str">
        <f>IF(IF(SUMIF('Production Data-Daily Input'!$B:$B,"Total "&amp;$A27,'Production Data-Daily Input'!$G:$G)&lt;&gt;0,SUMIF('Production Data-Daily Input'!$B:$B,"Total "&amp;$A27,'Production Data-Daily Input'!$G:$G),IF(SUMIF('Production Data-Weekly input'!$A:$A,$A27,'Production Data-Weekly input'!$F:$F)="","",SUMIF('Production Data-Weekly input'!$A:$A,$A27,'Production Data-Weekly input'!$F:$F)))=0,"",IF(SUMIF('Production Data-Daily Input'!$B:$B,"Total "&amp;$A27,'Production Data-Daily Input'!$G:$G)&lt;&gt;0,SUMIF('Production Data-Daily Input'!$B:$B,"Total "&amp;$A27,'Production Data-Daily Input'!$G:$G),IF(SUMIF('Production Data-Weekly input'!$A:$A,$A27,'Production Data-Weekly input'!$F:$F)="","",SUMIF('Production Data-Weekly input'!$A:$A,$A27,'Production Data-Weekly input'!$F:$F))))</f>
        <v/>
      </c>
      <c r="N27" s="302" t="str">
        <f>Standard!G19</f>
        <v/>
      </c>
      <c r="O27" s="285" t="str">
        <f t="shared" si="0"/>
        <v/>
      </c>
      <c r="P27" s="303" t="str">
        <f>Standard!H19</f>
        <v/>
      </c>
      <c r="Q27" s="287" t="str">
        <f>IF(Q26="","",IF(AND(H27="",Q26=""),"",IF(O27="","",IF(M27="",IF(Q26="",0,Q26),(M27*H27/100*7*F27/Data!F$37)+IF(Q26="",0,Q26)))))</f>
        <v/>
      </c>
      <c r="R27" s="288" t="str">
        <f>Standard!I19</f>
        <v/>
      </c>
      <c r="S27" s="289" t="str">
        <f>IF(AND(F27="",Q27=""),"",IF(J27&lt;&gt;"",IF(Q27="","",Q27*Data!F$37/J27),""))</f>
        <v/>
      </c>
      <c r="T27" s="290" t="str">
        <f>Standard!J19</f>
        <v/>
      </c>
      <c r="U27" s="291" t="str">
        <f t="shared" si="1"/>
        <v/>
      </c>
      <c r="V27" s="292" t="str">
        <f>IF(F27="","",IF(SUMIF('Production Data-Weekly input'!$A:$A,A27,'Production Data-Weekly input'!$G:$G)&lt;&gt;0,SUMIF('Production Data-Weekly input'!$A:$A,A27,'Production Data-Weekly input'!$G:$G),(SUMIF('Production Data-Daily Input'!$B:$B,"Total "&amp;A27,'Production Data-Daily Input'!$H:$H)*1000/7/F27)))</f>
        <v/>
      </c>
      <c r="W27" s="293" t="str">
        <f t="shared" si="3"/>
        <v/>
      </c>
      <c r="X27" s="293" t="str">
        <f>IF(W27&lt;&gt;"",W27/Data!F$37*1000/((A27-16)*7),"")</f>
        <v/>
      </c>
      <c r="Y27" s="400" t="str">
        <f t="shared" si="4"/>
        <v/>
      </c>
      <c r="Z27" s="294" t="str">
        <f>IF(F27="","",IF(OR(Q27=0,Q27=""),"",IF(W27&lt;&gt;0,W27/(Q27*Data!F$37/1000),"")))</f>
        <v/>
      </c>
      <c r="AA27" s="295" t="str">
        <f>IF(AND(U27=0,SUMIF('Production Data-Weekly input'!$A:$A,$A27,'Production Data-Weekly input'!$H:$H)=0,SUMIF('Production Data-Daily Input'!$B:$B,"Total "&amp;A27,'Production Data-Daily Input'!$I:$I)=0),"",IF(F27="","",IF(SUMIF('Production Data-Weekly input'!$A:$A,$A27,'Production Data-Weekly input'!$H:$H)&lt;&gt;0,SUMIF('Production Data-Weekly input'!$A:$A,$A27,'Production Data-Weekly input'!$H:$H)*7/U27,SUMIF('Production Data-Daily Input'!$B:$B,"Total "&amp;A27,'Production Data-Daily Input'!$I:$I)*7/U27)))</f>
        <v/>
      </c>
      <c r="AB27" s="278">
        <f>SUMIF('Production Data-Daily Input'!$B:$B,"Total "&amp;$A27,'Production Data-Daily Input'!$E:$E)</f>
        <v>0</v>
      </c>
      <c r="AC27" s="296" t="str">
        <f>IF(F27="","",IF(G27&lt;&gt;0,IF(AB27&lt;&gt;0,AB27/G27,'Production Data-Weekly input'!D24/100),""))</f>
        <v/>
      </c>
      <c r="AD27" s="275">
        <f>SUMIF('Production Data-Daily Input'!$B:$B,"Total "&amp;$A27,'Production Data-Daily Input'!$F:$F)</f>
        <v>0</v>
      </c>
      <c r="AE27" s="296" t="str">
        <f>IF(F27="","",IF(G27&lt;&gt;0,IF(AD27&lt;&gt;0,AD27/G27,'Production Data-Weekly input'!E24/100),""))</f>
        <v/>
      </c>
      <c r="AF27" s="275">
        <f t="shared" si="5"/>
        <v>0</v>
      </c>
      <c r="AG27" s="297" t="str">
        <f t="shared" si="7"/>
        <v/>
      </c>
      <c r="AH27" s="298" t="str">
        <f>IF(AND(SUMIF('Production Data-Daily Input'!$B:$B,"Total "&amp;A27,'Production Data-Daily Input'!$J:$J)=0,SUMIF('Production Data-Weekly input'!$A:$A,A27,'Production Data-Weekly input'!$I:$I)=0),"",IF(SUMIF('Production Data-Daily Input'!$B:$B,"Total "&amp;A27,'Production Data-Daily Input'!$J:$J)&lt;&gt;0,SUMIF('Production Data-Daily Input'!$B:$B,"Total "&amp;A27,'Production Data-Daily Input'!$J:$J),SUMIF('Production Data-Weekly input'!$A:$A,A27,'Production Data-Weekly input'!$I:$I)))</f>
        <v/>
      </c>
    </row>
    <row r="28" spans="1:34" s="299" customFormat="1" ht="24.95" customHeight="1" x14ac:dyDescent="0.25">
      <c r="A28" s="273">
        <f t="shared" si="2"/>
        <v>30</v>
      </c>
      <c r="B28" s="429" t="str">
        <f>'Production Data-Daily Input'!B110</f>
        <v/>
      </c>
      <c r="C28" s="274" t="str">
        <f>IF(IF(AND(SUMIF('Production Data-Daily Input'!$B:$B,"Total "&amp;$A28,'Production Data-Daily Input'!$C:$C)="",SUMIF('Production Data-Weekly input'!$A:$A,A28,'Production Data-Weekly input'!$B:$B)=""),"",IF(SUMIF('Production Data-Daily Input'!$B:$B,"Total "&amp;$A28,'Production Data-Daily Input'!$C:$C)&lt;&gt;0,SUMIF('Production Data-Daily Input'!$B:$B,"Total "&amp;$A28,'Production Data-Daily Input'!$C:$C),SUMIF('Production Data-Weekly input'!$A:$A,A28,'Production Data-Weekly input'!$B:$B)/100*Data!$F$37))=0,"",IF(AND(SUMIF('Production Data-Daily Input'!$B:$B,"Total "&amp;$A28,'Production Data-Daily Input'!$C:$C)="",SUMIF('Production Data-Weekly input'!$A:$A,A28,'Production Data-Weekly input'!$B:$B)=""),"",IF(SUMIF('Production Data-Daily Input'!$B:$B,"Total "&amp;$A28,'Production Data-Daily Input'!$C:$C)&lt;&gt;0,SUMIF('Production Data-Daily Input'!$B:$B,"Total "&amp;$A28,'Production Data-Daily Input'!$C:$C),SUMIF('Production Data-Weekly input'!$A:$A,A28,'Production Data-Weekly input'!$B:$B)/100*Data!$F$37)))</f>
        <v/>
      </c>
      <c r="D28" s="275" t="str">
        <f>IF(AND(SUM(C28:$C$88)=0,SUMIF('Production Data-Daily Input'!$B:$B,"Total "&amp;$A28,'Production Data-Daily Input'!$D:$D)=0,SUMIF('Production Data-Weekly input'!$A:$A,$A28,'Production Data-Weekly input'!$C:$C)=0),"",IF(C28="",D27,C28+D27))</f>
        <v/>
      </c>
      <c r="E28" s="276" t="str">
        <f>IF(F28="","",F28/Data!F$37)</f>
        <v/>
      </c>
      <c r="F28" s="277" t="str">
        <f>IF(D28="","",Data!$F$37-D28)</f>
        <v/>
      </c>
      <c r="G28" s="278" t="str">
        <f>IF(F28="","",IF(SUMIF('Production Data-Daily Input'!$B:$B,"Total "&amp;$A28,'Production Data-Daily Input'!$D:$D)&lt;&gt;0,SUMIF('Production Data-Daily Input'!$B:$B,"Total "&amp;$A28,'Production Data-Daily Input'!$D:$D),IF(SUMIF('Production Data-Weekly input'!$A:$A,$A28,'Production Data-Weekly input'!$C:$C)=0,0,SUMIF('Production Data-Weekly input'!$A:$A,$A28,'Production Data-Weekly input'!$C:$C)/100*7*$F28)))</f>
        <v/>
      </c>
      <c r="H28" s="279" t="str">
        <f>IF(AND(G28="",'Production Data-Weekly input'!C25=""),"",IF(G28="",'Production Data-Weekly input'!C25,G28/F28/7*100))</f>
        <v/>
      </c>
      <c r="I28" s="300" t="str">
        <f>Standard!D20</f>
        <v/>
      </c>
      <c r="J28" s="275">
        <f t="shared" si="6"/>
        <v>0</v>
      </c>
      <c r="K28" s="281" t="str">
        <f>IF(H28="","",J28/Data!F$37)</f>
        <v/>
      </c>
      <c r="L28" s="301" t="str">
        <f>Standard!F20</f>
        <v/>
      </c>
      <c r="M28" s="283" t="str">
        <f>IF(IF(SUMIF('Production Data-Daily Input'!$B:$B,"Total "&amp;$A28,'Production Data-Daily Input'!$G:$G)&lt;&gt;0,SUMIF('Production Data-Daily Input'!$B:$B,"Total "&amp;$A28,'Production Data-Daily Input'!$G:$G),IF(SUMIF('Production Data-Weekly input'!$A:$A,$A28,'Production Data-Weekly input'!$F:$F)="","",SUMIF('Production Data-Weekly input'!$A:$A,$A28,'Production Data-Weekly input'!$F:$F)))=0,"",IF(SUMIF('Production Data-Daily Input'!$B:$B,"Total "&amp;$A28,'Production Data-Daily Input'!$G:$G)&lt;&gt;0,SUMIF('Production Data-Daily Input'!$B:$B,"Total "&amp;$A28,'Production Data-Daily Input'!$G:$G),IF(SUMIF('Production Data-Weekly input'!$A:$A,$A28,'Production Data-Weekly input'!$F:$F)="","",SUMIF('Production Data-Weekly input'!$A:$A,$A28,'Production Data-Weekly input'!$F:$F))))</f>
        <v/>
      </c>
      <c r="N28" s="302" t="str">
        <f>Standard!G20</f>
        <v/>
      </c>
      <c r="O28" s="285" t="str">
        <f t="shared" si="0"/>
        <v/>
      </c>
      <c r="P28" s="303" t="str">
        <f>Standard!H20</f>
        <v/>
      </c>
      <c r="Q28" s="287" t="str">
        <f>IF(Q27="","",IF(AND(H28="",Q27=""),"",IF(O28="","",IF(M28="",IF(Q27="",0,Q27),(M28*H28/100*7*F28/Data!F$37)+IF(Q27="",0,Q27)))))</f>
        <v/>
      </c>
      <c r="R28" s="288" t="str">
        <f>Standard!I20</f>
        <v/>
      </c>
      <c r="S28" s="289" t="str">
        <f>IF(AND(F28="",Q28=""),"",IF(J28&lt;&gt;"",IF(Q28="","",Q28*Data!F$37/J28),""))</f>
        <v/>
      </c>
      <c r="T28" s="290" t="str">
        <f>Standard!J20</f>
        <v/>
      </c>
      <c r="U28" s="291" t="str">
        <f t="shared" si="1"/>
        <v/>
      </c>
      <c r="V28" s="292" t="str">
        <f>IF(F28="","",IF(SUMIF('Production Data-Weekly input'!$A:$A,A28,'Production Data-Weekly input'!$G:$G)&lt;&gt;0,SUMIF('Production Data-Weekly input'!$A:$A,A28,'Production Data-Weekly input'!$G:$G),(SUMIF('Production Data-Daily Input'!$B:$B,"Total "&amp;A28,'Production Data-Daily Input'!$H:$H)*1000/7/F28)))</f>
        <v/>
      </c>
      <c r="W28" s="293" t="str">
        <f t="shared" si="3"/>
        <v/>
      </c>
      <c r="X28" s="293" t="str">
        <f>IF(W28&lt;&gt;"",W28/Data!F$37*1000/((A28-16)*7),"")</f>
        <v/>
      </c>
      <c r="Y28" s="400" t="str">
        <f t="shared" si="4"/>
        <v/>
      </c>
      <c r="Z28" s="294" t="str">
        <f>IF(F28="","",IF(OR(Q28=0,Q28=""),"",IF(W28&lt;&gt;0,W28/(Q28*Data!F$37/1000),"")))</f>
        <v/>
      </c>
      <c r="AA28" s="295" t="str">
        <f>IF(AND(U28=0,SUMIF('Production Data-Weekly input'!$A:$A,$A28,'Production Data-Weekly input'!$H:$H)=0,SUMIF('Production Data-Daily Input'!$B:$B,"Total "&amp;A28,'Production Data-Daily Input'!$I:$I)=0),"",IF(F28="","",IF(SUMIF('Production Data-Weekly input'!$A:$A,$A28,'Production Data-Weekly input'!$H:$H)&lt;&gt;0,SUMIF('Production Data-Weekly input'!$A:$A,$A28,'Production Data-Weekly input'!$H:$H)*7/U28,SUMIF('Production Data-Daily Input'!$B:$B,"Total "&amp;A28,'Production Data-Daily Input'!$I:$I)*7/U28)))</f>
        <v/>
      </c>
      <c r="AB28" s="278">
        <f>SUMIF('Production Data-Daily Input'!$B:$B,"Total "&amp;$A28,'Production Data-Daily Input'!$E:$E)</f>
        <v>0</v>
      </c>
      <c r="AC28" s="296" t="str">
        <f>IF(F28="","",IF(G28&lt;&gt;0,IF(AB28&lt;&gt;0,AB28/G28,'Production Data-Weekly input'!D25/100),""))</f>
        <v/>
      </c>
      <c r="AD28" s="275">
        <f>SUMIF('Production Data-Daily Input'!$B:$B,"Total "&amp;$A28,'Production Data-Daily Input'!$F:$F)</f>
        <v>0</v>
      </c>
      <c r="AE28" s="296" t="str">
        <f>IF(F28="","",IF(G28&lt;&gt;0,IF(AD28&lt;&gt;0,AD28/G28,'Production Data-Weekly input'!E25/100),""))</f>
        <v/>
      </c>
      <c r="AF28" s="275">
        <f t="shared" si="5"/>
        <v>0</v>
      </c>
      <c r="AG28" s="297" t="str">
        <f t="shared" si="7"/>
        <v/>
      </c>
      <c r="AH28" s="298" t="str">
        <f>IF(AND(SUMIF('Production Data-Daily Input'!$B:$B,"Total "&amp;A28,'Production Data-Daily Input'!$J:$J)=0,SUMIF('Production Data-Weekly input'!$A:$A,A28,'Production Data-Weekly input'!$I:$I)=0),"",IF(SUMIF('Production Data-Daily Input'!$B:$B,"Total "&amp;A28,'Production Data-Daily Input'!$J:$J)&lt;&gt;0,SUMIF('Production Data-Daily Input'!$B:$B,"Total "&amp;A28,'Production Data-Daily Input'!$J:$J),SUMIF('Production Data-Weekly input'!$A:$A,A28,'Production Data-Weekly input'!$I:$I)))</f>
        <v/>
      </c>
    </row>
    <row r="29" spans="1:34" s="299" customFormat="1" ht="24.95" customHeight="1" x14ac:dyDescent="0.25">
      <c r="A29" s="273">
        <f t="shared" si="2"/>
        <v>31</v>
      </c>
      <c r="B29" s="429" t="str">
        <f>'Production Data-Daily Input'!B118</f>
        <v/>
      </c>
      <c r="C29" s="274" t="str">
        <f>IF(IF(AND(SUMIF('Production Data-Daily Input'!$B:$B,"Total "&amp;$A29,'Production Data-Daily Input'!$C:$C)="",SUMIF('Production Data-Weekly input'!$A:$A,A29,'Production Data-Weekly input'!$B:$B)=""),"",IF(SUMIF('Production Data-Daily Input'!$B:$B,"Total "&amp;$A29,'Production Data-Daily Input'!$C:$C)&lt;&gt;0,SUMIF('Production Data-Daily Input'!$B:$B,"Total "&amp;$A29,'Production Data-Daily Input'!$C:$C),SUMIF('Production Data-Weekly input'!$A:$A,A29,'Production Data-Weekly input'!$B:$B)/100*Data!$F$37))=0,"",IF(AND(SUMIF('Production Data-Daily Input'!$B:$B,"Total "&amp;$A29,'Production Data-Daily Input'!$C:$C)="",SUMIF('Production Data-Weekly input'!$A:$A,A29,'Production Data-Weekly input'!$B:$B)=""),"",IF(SUMIF('Production Data-Daily Input'!$B:$B,"Total "&amp;$A29,'Production Data-Daily Input'!$C:$C)&lt;&gt;0,SUMIF('Production Data-Daily Input'!$B:$B,"Total "&amp;$A29,'Production Data-Daily Input'!$C:$C),SUMIF('Production Data-Weekly input'!$A:$A,A29,'Production Data-Weekly input'!$B:$B)/100*Data!$F$37)))</f>
        <v/>
      </c>
      <c r="D29" s="275" t="str">
        <f>IF(AND(SUM(C29:$C$88)=0,SUMIF('Production Data-Daily Input'!$B:$B,"Total "&amp;$A29,'Production Data-Daily Input'!$D:$D)=0,SUMIF('Production Data-Weekly input'!$A:$A,$A29,'Production Data-Weekly input'!$C:$C)=0),"",IF(C29="",D28,C29+D28))</f>
        <v/>
      </c>
      <c r="E29" s="276" t="str">
        <f>IF(F29="","",F29/Data!F$37)</f>
        <v/>
      </c>
      <c r="F29" s="277" t="str">
        <f>IF(D29="","",Data!$F$37-D29)</f>
        <v/>
      </c>
      <c r="G29" s="278" t="str">
        <f>IF(F29="","",IF(SUMIF('Production Data-Daily Input'!$B:$B,"Total "&amp;$A29,'Production Data-Daily Input'!$D:$D)&lt;&gt;0,SUMIF('Production Data-Daily Input'!$B:$B,"Total "&amp;$A29,'Production Data-Daily Input'!$D:$D),IF(SUMIF('Production Data-Weekly input'!$A:$A,$A29,'Production Data-Weekly input'!$C:$C)=0,0,SUMIF('Production Data-Weekly input'!$A:$A,$A29,'Production Data-Weekly input'!$C:$C)/100*7*$F29)))</f>
        <v/>
      </c>
      <c r="H29" s="279" t="str">
        <f>IF(AND(G29="",'Production Data-Weekly input'!C26=""),"",IF(G29="",'Production Data-Weekly input'!C26,G29/F29/7*100))</f>
        <v/>
      </c>
      <c r="I29" s="300" t="str">
        <f>Standard!D21</f>
        <v/>
      </c>
      <c r="J29" s="275">
        <f t="shared" si="6"/>
        <v>0</v>
      </c>
      <c r="K29" s="281" t="str">
        <f>IF(H29="","",J29/Data!F$37)</f>
        <v/>
      </c>
      <c r="L29" s="301" t="str">
        <f>Standard!F21</f>
        <v/>
      </c>
      <c r="M29" s="283" t="str">
        <f>IF(IF(SUMIF('Production Data-Daily Input'!$B:$B,"Total "&amp;$A29,'Production Data-Daily Input'!$G:$G)&lt;&gt;0,SUMIF('Production Data-Daily Input'!$B:$B,"Total "&amp;$A29,'Production Data-Daily Input'!$G:$G),IF(SUMIF('Production Data-Weekly input'!$A:$A,$A29,'Production Data-Weekly input'!$F:$F)="","",SUMIF('Production Data-Weekly input'!$A:$A,$A29,'Production Data-Weekly input'!$F:$F)))=0,"",IF(SUMIF('Production Data-Daily Input'!$B:$B,"Total "&amp;$A29,'Production Data-Daily Input'!$G:$G)&lt;&gt;0,SUMIF('Production Data-Daily Input'!$B:$B,"Total "&amp;$A29,'Production Data-Daily Input'!$G:$G),IF(SUMIF('Production Data-Weekly input'!$A:$A,$A29,'Production Data-Weekly input'!$F:$F)="","",SUMIF('Production Data-Weekly input'!$A:$A,$A29,'Production Data-Weekly input'!$F:$F))))</f>
        <v/>
      </c>
      <c r="N29" s="302" t="str">
        <f>Standard!G21</f>
        <v/>
      </c>
      <c r="O29" s="285" t="str">
        <f t="shared" si="0"/>
        <v/>
      </c>
      <c r="P29" s="303" t="str">
        <f>Standard!H21</f>
        <v/>
      </c>
      <c r="Q29" s="287" t="str">
        <f>IF(Q28="","",IF(AND(H29="",Q28=""),"",IF(O29="","",IF(M29="",IF(Q28="",0,Q28),(M29*H29/100*7*F29/Data!F$37)+IF(Q28="",0,Q28)))))</f>
        <v/>
      </c>
      <c r="R29" s="288" t="str">
        <f>Standard!I21</f>
        <v/>
      </c>
      <c r="S29" s="289" t="str">
        <f>IF(AND(F29="",Q29=""),"",IF(J29&lt;&gt;"",IF(Q29="","",Q29*Data!F$37/J29),""))</f>
        <v/>
      </c>
      <c r="T29" s="290" t="str">
        <f>Standard!J21</f>
        <v/>
      </c>
      <c r="U29" s="291" t="str">
        <f t="shared" si="1"/>
        <v/>
      </c>
      <c r="V29" s="292" t="str">
        <f>IF(F29="","",IF(SUMIF('Production Data-Weekly input'!$A:$A,A29,'Production Data-Weekly input'!$G:$G)&lt;&gt;0,SUMIF('Production Data-Weekly input'!$A:$A,A29,'Production Data-Weekly input'!$G:$G),(SUMIF('Production Data-Daily Input'!$B:$B,"Total "&amp;A29,'Production Data-Daily Input'!$H:$H)*1000/7/F29)))</f>
        <v/>
      </c>
      <c r="W29" s="293" t="str">
        <f t="shared" si="3"/>
        <v/>
      </c>
      <c r="X29" s="293" t="str">
        <f>IF(W29&lt;&gt;"",W29/Data!F$37*1000/((A29-16)*7),"")</f>
        <v/>
      </c>
      <c r="Y29" s="400" t="str">
        <f t="shared" si="4"/>
        <v/>
      </c>
      <c r="Z29" s="294" t="str">
        <f>IF(F29="","",IF(OR(Q29=0,Q29=""),"",IF(W29&lt;&gt;0,W29/(Q29*Data!F$37/1000),"")))</f>
        <v/>
      </c>
      <c r="AA29" s="295" t="str">
        <f>IF(AND(U29=0,SUMIF('Production Data-Weekly input'!$A:$A,$A29,'Production Data-Weekly input'!$H:$H)=0,SUMIF('Production Data-Daily Input'!$B:$B,"Total "&amp;A29,'Production Data-Daily Input'!$I:$I)=0),"",IF(F29="","",IF(SUMIF('Production Data-Weekly input'!$A:$A,$A29,'Production Data-Weekly input'!$H:$H)&lt;&gt;0,SUMIF('Production Data-Weekly input'!$A:$A,$A29,'Production Data-Weekly input'!$H:$H)*7/U29,SUMIF('Production Data-Daily Input'!$B:$B,"Total "&amp;A29,'Production Data-Daily Input'!$I:$I)*7/U29)))</f>
        <v/>
      </c>
      <c r="AB29" s="278">
        <f>SUMIF('Production Data-Daily Input'!$B:$B,"Total "&amp;$A29,'Production Data-Daily Input'!$E:$E)</f>
        <v>0</v>
      </c>
      <c r="AC29" s="296" t="str">
        <f>IF(F29="","",IF(G29&lt;&gt;0,IF(AB29&lt;&gt;0,AB29/G29,'Production Data-Weekly input'!D26/100),""))</f>
        <v/>
      </c>
      <c r="AD29" s="275">
        <f>SUMIF('Production Data-Daily Input'!$B:$B,"Total "&amp;$A29,'Production Data-Daily Input'!$F:$F)</f>
        <v>0</v>
      </c>
      <c r="AE29" s="296" t="str">
        <f>IF(F29="","",IF(G29&lt;&gt;0,IF(AD29&lt;&gt;0,AD29/G29,'Production Data-Weekly input'!E26/100),""))</f>
        <v/>
      </c>
      <c r="AF29" s="275">
        <f t="shared" si="5"/>
        <v>0</v>
      </c>
      <c r="AG29" s="297" t="str">
        <f t="shared" si="7"/>
        <v/>
      </c>
      <c r="AH29" s="298" t="str">
        <f>IF(AND(SUMIF('Production Data-Daily Input'!$B:$B,"Total "&amp;A29,'Production Data-Daily Input'!$J:$J)=0,SUMIF('Production Data-Weekly input'!$A:$A,A29,'Production Data-Weekly input'!$I:$I)=0),"",IF(SUMIF('Production Data-Daily Input'!$B:$B,"Total "&amp;A29,'Production Data-Daily Input'!$J:$J)&lt;&gt;0,SUMIF('Production Data-Daily Input'!$B:$B,"Total "&amp;A29,'Production Data-Daily Input'!$J:$J),SUMIF('Production Data-Weekly input'!$A:$A,A29,'Production Data-Weekly input'!$I:$I)))</f>
        <v/>
      </c>
    </row>
    <row r="30" spans="1:34" s="299" customFormat="1" ht="24.95" customHeight="1" x14ac:dyDescent="0.25">
      <c r="A30" s="273">
        <f t="shared" si="2"/>
        <v>32</v>
      </c>
      <c r="B30" s="429" t="str">
        <f>'Production Data-Daily Input'!B126</f>
        <v/>
      </c>
      <c r="C30" s="274" t="str">
        <f>IF(IF(AND(SUMIF('Production Data-Daily Input'!$B:$B,"Total "&amp;$A30,'Production Data-Daily Input'!$C:$C)="",SUMIF('Production Data-Weekly input'!$A:$A,A30,'Production Data-Weekly input'!$B:$B)=""),"",IF(SUMIF('Production Data-Daily Input'!$B:$B,"Total "&amp;$A30,'Production Data-Daily Input'!$C:$C)&lt;&gt;0,SUMIF('Production Data-Daily Input'!$B:$B,"Total "&amp;$A30,'Production Data-Daily Input'!$C:$C),SUMIF('Production Data-Weekly input'!$A:$A,A30,'Production Data-Weekly input'!$B:$B)/100*Data!$F$37))=0,"",IF(AND(SUMIF('Production Data-Daily Input'!$B:$B,"Total "&amp;$A30,'Production Data-Daily Input'!$C:$C)="",SUMIF('Production Data-Weekly input'!$A:$A,A30,'Production Data-Weekly input'!$B:$B)=""),"",IF(SUMIF('Production Data-Daily Input'!$B:$B,"Total "&amp;$A30,'Production Data-Daily Input'!$C:$C)&lt;&gt;0,SUMIF('Production Data-Daily Input'!$B:$B,"Total "&amp;$A30,'Production Data-Daily Input'!$C:$C),SUMIF('Production Data-Weekly input'!$A:$A,A30,'Production Data-Weekly input'!$B:$B)/100*Data!$F$37)))</f>
        <v/>
      </c>
      <c r="D30" s="275" t="str">
        <f>IF(AND(SUM(C30:$C$88)=0,SUMIF('Production Data-Daily Input'!$B:$B,"Total "&amp;$A30,'Production Data-Daily Input'!$D:$D)=0,SUMIF('Production Data-Weekly input'!$A:$A,$A30,'Production Data-Weekly input'!$C:$C)=0),"",IF(C30="",D29,C30+D29))</f>
        <v/>
      </c>
      <c r="E30" s="276" t="str">
        <f>IF(F30="","",F30/Data!F$37)</f>
        <v/>
      </c>
      <c r="F30" s="277" t="str">
        <f>IF(D30="","",Data!$F$37-D30)</f>
        <v/>
      </c>
      <c r="G30" s="278" t="str">
        <f>IF(F30="","",IF(SUMIF('Production Data-Daily Input'!$B:$B,"Total "&amp;$A30,'Production Data-Daily Input'!$D:$D)&lt;&gt;0,SUMIF('Production Data-Daily Input'!$B:$B,"Total "&amp;$A30,'Production Data-Daily Input'!$D:$D),IF(SUMIF('Production Data-Weekly input'!$A:$A,$A30,'Production Data-Weekly input'!$C:$C)=0,0,SUMIF('Production Data-Weekly input'!$A:$A,$A30,'Production Data-Weekly input'!$C:$C)/100*7*$F30)))</f>
        <v/>
      </c>
      <c r="H30" s="279" t="str">
        <f>IF(AND(G30="",'Production Data-Weekly input'!C27=""),"",IF(G30="",'Production Data-Weekly input'!C27,G30/F30/7*100))</f>
        <v/>
      </c>
      <c r="I30" s="300" t="str">
        <f>Standard!D22</f>
        <v/>
      </c>
      <c r="J30" s="275">
        <f t="shared" si="6"/>
        <v>0</v>
      </c>
      <c r="K30" s="281" t="str">
        <f>IF(H30="","",J30/Data!F$37)</f>
        <v/>
      </c>
      <c r="L30" s="301" t="str">
        <f>Standard!F22</f>
        <v/>
      </c>
      <c r="M30" s="283" t="str">
        <f>IF(IF(SUMIF('Production Data-Daily Input'!$B:$B,"Total "&amp;$A30,'Production Data-Daily Input'!$G:$G)&lt;&gt;0,SUMIF('Production Data-Daily Input'!$B:$B,"Total "&amp;$A30,'Production Data-Daily Input'!$G:$G),IF(SUMIF('Production Data-Weekly input'!$A:$A,$A30,'Production Data-Weekly input'!$F:$F)="","",SUMIF('Production Data-Weekly input'!$A:$A,$A30,'Production Data-Weekly input'!$F:$F)))=0,"",IF(SUMIF('Production Data-Daily Input'!$B:$B,"Total "&amp;$A30,'Production Data-Daily Input'!$G:$G)&lt;&gt;0,SUMIF('Production Data-Daily Input'!$B:$B,"Total "&amp;$A30,'Production Data-Daily Input'!$G:$G),IF(SUMIF('Production Data-Weekly input'!$A:$A,$A30,'Production Data-Weekly input'!$F:$F)="","",SUMIF('Production Data-Weekly input'!$A:$A,$A30,'Production Data-Weekly input'!$F:$F))))</f>
        <v/>
      </c>
      <c r="N30" s="302" t="str">
        <f>Standard!G22</f>
        <v/>
      </c>
      <c r="O30" s="285" t="str">
        <f t="shared" si="0"/>
        <v/>
      </c>
      <c r="P30" s="303" t="str">
        <f>Standard!H22</f>
        <v/>
      </c>
      <c r="Q30" s="287" t="str">
        <f>IF(Q29="","",IF(AND(H30="",Q29=""),"",IF(O30="","",IF(M30="",IF(Q29="",0,Q29),(M30*H30/100*7*F30/Data!F$37)+IF(Q29="",0,Q29)))))</f>
        <v/>
      </c>
      <c r="R30" s="288" t="str">
        <f>Standard!I22</f>
        <v/>
      </c>
      <c r="S30" s="289" t="str">
        <f>IF(AND(F30="",Q30=""),"",IF(J30&lt;&gt;"",IF(Q30="","",Q30*Data!F$37/J30),""))</f>
        <v/>
      </c>
      <c r="T30" s="290" t="str">
        <f>Standard!J22</f>
        <v/>
      </c>
      <c r="U30" s="291" t="str">
        <f t="shared" si="1"/>
        <v/>
      </c>
      <c r="V30" s="292" t="str">
        <f>IF(F30="","",IF(SUMIF('Production Data-Weekly input'!$A:$A,A30,'Production Data-Weekly input'!$G:$G)&lt;&gt;0,SUMIF('Production Data-Weekly input'!$A:$A,A30,'Production Data-Weekly input'!$G:$G),(SUMIF('Production Data-Daily Input'!$B:$B,"Total "&amp;A30,'Production Data-Daily Input'!$H:$H)*1000/7/F30)))</f>
        <v/>
      </c>
      <c r="W30" s="293" t="str">
        <f t="shared" si="3"/>
        <v/>
      </c>
      <c r="X30" s="293" t="str">
        <f>IF(W30&lt;&gt;"",W30/Data!F$37*1000/((A30-16)*7),"")</f>
        <v/>
      </c>
      <c r="Y30" s="400" t="str">
        <f t="shared" si="4"/>
        <v/>
      </c>
      <c r="Z30" s="294" t="str">
        <f>IF(F30="","",IF(OR(Q30=0,Q30=""),"",IF(W30&lt;&gt;0,W30/(Q30*Data!F$37/1000),"")))</f>
        <v/>
      </c>
      <c r="AA30" s="295" t="str">
        <f>IF(AND(U30=0,SUMIF('Production Data-Weekly input'!$A:$A,$A30,'Production Data-Weekly input'!$H:$H)=0,SUMIF('Production Data-Daily Input'!$B:$B,"Total "&amp;A30,'Production Data-Daily Input'!$I:$I)=0),"",IF(F30="","",IF(SUMIF('Production Data-Weekly input'!$A:$A,$A30,'Production Data-Weekly input'!$H:$H)&lt;&gt;0,SUMIF('Production Data-Weekly input'!$A:$A,$A30,'Production Data-Weekly input'!$H:$H)*7/U30,SUMIF('Production Data-Daily Input'!$B:$B,"Total "&amp;A30,'Production Data-Daily Input'!$I:$I)*7/U30)))</f>
        <v/>
      </c>
      <c r="AB30" s="278">
        <f>SUMIF('Production Data-Daily Input'!$B:$B,"Total "&amp;$A30,'Production Data-Daily Input'!$E:$E)</f>
        <v>0</v>
      </c>
      <c r="AC30" s="296" t="str">
        <f>IF(F30="","",IF(G30&lt;&gt;0,IF(AB30&lt;&gt;0,AB30/G30,'Production Data-Weekly input'!D27/100),""))</f>
        <v/>
      </c>
      <c r="AD30" s="275">
        <f>SUMIF('Production Data-Daily Input'!$B:$B,"Total "&amp;$A30,'Production Data-Daily Input'!$F:$F)</f>
        <v>0</v>
      </c>
      <c r="AE30" s="296" t="str">
        <f>IF(F30="","",IF(G30&lt;&gt;0,IF(AD30&lt;&gt;0,AD30/G30,'Production Data-Weekly input'!E27/100),""))</f>
        <v/>
      </c>
      <c r="AF30" s="275">
        <f t="shared" si="5"/>
        <v>0</v>
      </c>
      <c r="AG30" s="297" t="str">
        <f t="shared" si="7"/>
        <v/>
      </c>
      <c r="AH30" s="298" t="str">
        <f>IF(AND(SUMIF('Production Data-Daily Input'!$B:$B,"Total "&amp;A30,'Production Data-Daily Input'!$J:$J)=0,SUMIF('Production Data-Weekly input'!$A:$A,A30,'Production Data-Weekly input'!$I:$I)=0),"",IF(SUMIF('Production Data-Daily Input'!$B:$B,"Total "&amp;A30,'Production Data-Daily Input'!$J:$J)&lt;&gt;0,SUMIF('Production Data-Daily Input'!$B:$B,"Total "&amp;A30,'Production Data-Daily Input'!$J:$J),SUMIF('Production Data-Weekly input'!$A:$A,A30,'Production Data-Weekly input'!$I:$I)))</f>
        <v/>
      </c>
    </row>
    <row r="31" spans="1:34" s="299" customFormat="1" ht="24.95" customHeight="1" x14ac:dyDescent="0.25">
      <c r="A31" s="273">
        <f t="shared" si="2"/>
        <v>33</v>
      </c>
      <c r="B31" s="429" t="str">
        <f>'Production Data-Daily Input'!B134</f>
        <v/>
      </c>
      <c r="C31" s="274" t="str">
        <f>IF(IF(AND(SUMIF('Production Data-Daily Input'!$B:$B,"Total "&amp;$A31,'Production Data-Daily Input'!$C:$C)="",SUMIF('Production Data-Weekly input'!$A:$A,A31,'Production Data-Weekly input'!$B:$B)=""),"",IF(SUMIF('Production Data-Daily Input'!$B:$B,"Total "&amp;$A31,'Production Data-Daily Input'!$C:$C)&lt;&gt;0,SUMIF('Production Data-Daily Input'!$B:$B,"Total "&amp;$A31,'Production Data-Daily Input'!$C:$C),SUMIF('Production Data-Weekly input'!$A:$A,A31,'Production Data-Weekly input'!$B:$B)/100*Data!$F$37))=0,"",IF(AND(SUMIF('Production Data-Daily Input'!$B:$B,"Total "&amp;$A31,'Production Data-Daily Input'!$C:$C)="",SUMIF('Production Data-Weekly input'!$A:$A,A31,'Production Data-Weekly input'!$B:$B)=""),"",IF(SUMIF('Production Data-Daily Input'!$B:$B,"Total "&amp;$A31,'Production Data-Daily Input'!$C:$C)&lt;&gt;0,SUMIF('Production Data-Daily Input'!$B:$B,"Total "&amp;$A31,'Production Data-Daily Input'!$C:$C),SUMIF('Production Data-Weekly input'!$A:$A,A31,'Production Data-Weekly input'!$B:$B)/100*Data!$F$37)))</f>
        <v/>
      </c>
      <c r="D31" s="275" t="str">
        <f>IF(AND(SUM(C31:$C$88)=0,SUMIF('Production Data-Daily Input'!$B:$B,"Total "&amp;$A31,'Production Data-Daily Input'!$D:$D)=0,SUMIF('Production Data-Weekly input'!$A:$A,$A31,'Production Data-Weekly input'!$C:$C)=0),"",IF(C31="",D30,C31+D30))</f>
        <v/>
      </c>
      <c r="E31" s="276" t="str">
        <f>IF(F31="","",F31/Data!F$37)</f>
        <v/>
      </c>
      <c r="F31" s="277" t="str">
        <f>IF(D31="","",Data!$F$37-D31)</f>
        <v/>
      </c>
      <c r="G31" s="278" t="str">
        <f>IF(F31="","",IF(SUMIF('Production Data-Daily Input'!$B:$B,"Total "&amp;$A31,'Production Data-Daily Input'!$D:$D)&lt;&gt;0,SUMIF('Production Data-Daily Input'!$B:$B,"Total "&amp;$A31,'Production Data-Daily Input'!$D:$D),IF(SUMIF('Production Data-Weekly input'!$A:$A,$A31,'Production Data-Weekly input'!$C:$C)=0,0,SUMIF('Production Data-Weekly input'!$A:$A,$A31,'Production Data-Weekly input'!$C:$C)/100*7*$F31)))</f>
        <v/>
      </c>
      <c r="H31" s="279" t="str">
        <f>IF(AND(G31="",'Production Data-Weekly input'!C28=""),"",IF(G31="",'Production Data-Weekly input'!C28,G31/F31/7*100))</f>
        <v/>
      </c>
      <c r="I31" s="300" t="str">
        <f>Standard!D23</f>
        <v/>
      </c>
      <c r="J31" s="275">
        <f t="shared" si="6"/>
        <v>0</v>
      </c>
      <c r="K31" s="281" t="str">
        <f>IF(H31="","",J31/Data!F$37)</f>
        <v/>
      </c>
      <c r="L31" s="301" t="str">
        <f>Standard!F23</f>
        <v/>
      </c>
      <c r="M31" s="283" t="str">
        <f>IF(IF(SUMIF('Production Data-Daily Input'!$B:$B,"Total "&amp;$A31,'Production Data-Daily Input'!$G:$G)&lt;&gt;0,SUMIF('Production Data-Daily Input'!$B:$B,"Total "&amp;$A31,'Production Data-Daily Input'!$G:$G),IF(SUMIF('Production Data-Weekly input'!$A:$A,$A31,'Production Data-Weekly input'!$F:$F)="","",SUMIF('Production Data-Weekly input'!$A:$A,$A31,'Production Data-Weekly input'!$F:$F)))=0,"",IF(SUMIF('Production Data-Daily Input'!$B:$B,"Total "&amp;$A31,'Production Data-Daily Input'!$G:$G)&lt;&gt;0,SUMIF('Production Data-Daily Input'!$B:$B,"Total "&amp;$A31,'Production Data-Daily Input'!$G:$G),IF(SUMIF('Production Data-Weekly input'!$A:$A,$A31,'Production Data-Weekly input'!$F:$F)="","",SUMIF('Production Data-Weekly input'!$A:$A,$A31,'Production Data-Weekly input'!$F:$F))))</f>
        <v/>
      </c>
      <c r="N31" s="302" t="str">
        <f>Standard!G23</f>
        <v/>
      </c>
      <c r="O31" s="285" t="str">
        <f t="shared" si="0"/>
        <v/>
      </c>
      <c r="P31" s="303" t="str">
        <f>Standard!H23</f>
        <v/>
      </c>
      <c r="Q31" s="287" t="str">
        <f>IF(Q30="","",IF(AND(H31="",Q30=""),"",IF(O31="","",IF(M31="",IF(Q30="",0,Q30),(M31*H31/100*7*F31/Data!F$37)+IF(Q30="",0,Q30)))))</f>
        <v/>
      </c>
      <c r="R31" s="288" t="str">
        <f>Standard!I23</f>
        <v/>
      </c>
      <c r="S31" s="289" t="str">
        <f>IF(AND(F31="",Q31=""),"",IF(J31&lt;&gt;"",IF(Q31="","",Q31*Data!F$37/J31),""))</f>
        <v/>
      </c>
      <c r="T31" s="290" t="str">
        <f>Standard!J23</f>
        <v/>
      </c>
      <c r="U31" s="291" t="str">
        <f t="shared" si="1"/>
        <v/>
      </c>
      <c r="V31" s="292" t="str">
        <f>IF(F31="","",IF(SUMIF('Production Data-Weekly input'!$A:$A,A31,'Production Data-Weekly input'!$G:$G)&lt;&gt;0,SUMIF('Production Data-Weekly input'!$A:$A,A31,'Production Data-Weekly input'!$G:$G),(SUMIF('Production Data-Daily Input'!$B:$B,"Total "&amp;A31,'Production Data-Daily Input'!$H:$H)*1000/7/F31)))</f>
        <v/>
      </c>
      <c r="W31" s="293" t="str">
        <f t="shared" si="3"/>
        <v/>
      </c>
      <c r="X31" s="293" t="str">
        <f>IF(W31&lt;&gt;"",W31/Data!F$37*1000/((A31-16)*7),"")</f>
        <v/>
      </c>
      <c r="Y31" s="400" t="str">
        <f t="shared" si="4"/>
        <v/>
      </c>
      <c r="Z31" s="294" t="str">
        <f>IF(F31="","",IF(OR(Q31=0,Q31=""),"",IF(W31&lt;&gt;0,W31/(Q31*Data!F$37/1000),"")))</f>
        <v/>
      </c>
      <c r="AA31" s="295" t="str">
        <f>IF(AND(U31=0,SUMIF('Production Data-Weekly input'!$A:$A,$A31,'Production Data-Weekly input'!$H:$H)=0,SUMIF('Production Data-Daily Input'!$B:$B,"Total "&amp;A31,'Production Data-Daily Input'!$I:$I)=0),"",IF(F31="","",IF(SUMIF('Production Data-Weekly input'!$A:$A,$A31,'Production Data-Weekly input'!$H:$H)&lt;&gt;0,SUMIF('Production Data-Weekly input'!$A:$A,$A31,'Production Data-Weekly input'!$H:$H)*7/U31,SUMIF('Production Data-Daily Input'!$B:$B,"Total "&amp;A31,'Production Data-Daily Input'!$I:$I)*7/U31)))</f>
        <v/>
      </c>
      <c r="AB31" s="278">
        <f>SUMIF('Production Data-Daily Input'!$B:$B,"Total "&amp;$A31,'Production Data-Daily Input'!$E:$E)</f>
        <v>0</v>
      </c>
      <c r="AC31" s="296" t="str">
        <f>IF(F31="","",IF(G31&lt;&gt;0,IF(AB31&lt;&gt;0,AB31/G31,'Production Data-Weekly input'!D28/100),""))</f>
        <v/>
      </c>
      <c r="AD31" s="275">
        <f>SUMIF('Production Data-Daily Input'!$B:$B,"Total "&amp;$A31,'Production Data-Daily Input'!$F:$F)</f>
        <v>0</v>
      </c>
      <c r="AE31" s="296" t="str">
        <f>IF(F31="","",IF(G31&lt;&gt;0,IF(AD31&lt;&gt;0,AD31/G31,'Production Data-Weekly input'!E28/100),""))</f>
        <v/>
      </c>
      <c r="AF31" s="275">
        <f t="shared" si="5"/>
        <v>0</v>
      </c>
      <c r="AG31" s="297" t="str">
        <f t="shared" si="7"/>
        <v/>
      </c>
      <c r="AH31" s="298" t="str">
        <f>IF(AND(SUMIF('Production Data-Daily Input'!$B:$B,"Total "&amp;A31,'Production Data-Daily Input'!$J:$J)=0,SUMIF('Production Data-Weekly input'!$A:$A,A31,'Production Data-Weekly input'!$I:$I)=0),"",IF(SUMIF('Production Data-Daily Input'!$B:$B,"Total "&amp;A31,'Production Data-Daily Input'!$J:$J)&lt;&gt;0,SUMIF('Production Data-Daily Input'!$B:$B,"Total "&amp;A31,'Production Data-Daily Input'!$J:$J),SUMIF('Production Data-Weekly input'!$A:$A,A31,'Production Data-Weekly input'!$I:$I)))</f>
        <v/>
      </c>
    </row>
    <row r="32" spans="1:34" s="299" customFormat="1" ht="24.95" customHeight="1" x14ac:dyDescent="0.25">
      <c r="A32" s="273">
        <f t="shared" si="2"/>
        <v>34</v>
      </c>
      <c r="B32" s="429" t="str">
        <f>'Production Data-Daily Input'!B142</f>
        <v/>
      </c>
      <c r="C32" s="274" t="str">
        <f>IF(IF(AND(SUMIF('Production Data-Daily Input'!$B:$B,"Total "&amp;$A32,'Production Data-Daily Input'!$C:$C)="",SUMIF('Production Data-Weekly input'!$A:$A,A32,'Production Data-Weekly input'!$B:$B)=""),"",IF(SUMIF('Production Data-Daily Input'!$B:$B,"Total "&amp;$A32,'Production Data-Daily Input'!$C:$C)&lt;&gt;0,SUMIF('Production Data-Daily Input'!$B:$B,"Total "&amp;$A32,'Production Data-Daily Input'!$C:$C),SUMIF('Production Data-Weekly input'!$A:$A,A32,'Production Data-Weekly input'!$B:$B)/100*Data!$F$37))=0,"",IF(AND(SUMIF('Production Data-Daily Input'!$B:$B,"Total "&amp;$A32,'Production Data-Daily Input'!$C:$C)="",SUMIF('Production Data-Weekly input'!$A:$A,A32,'Production Data-Weekly input'!$B:$B)=""),"",IF(SUMIF('Production Data-Daily Input'!$B:$B,"Total "&amp;$A32,'Production Data-Daily Input'!$C:$C)&lt;&gt;0,SUMIF('Production Data-Daily Input'!$B:$B,"Total "&amp;$A32,'Production Data-Daily Input'!$C:$C),SUMIF('Production Data-Weekly input'!$A:$A,A32,'Production Data-Weekly input'!$B:$B)/100*Data!$F$37)))</f>
        <v/>
      </c>
      <c r="D32" s="275" t="str">
        <f>IF(AND(SUM(C32:$C$88)=0,SUMIF('Production Data-Daily Input'!$B:$B,"Total "&amp;$A32,'Production Data-Daily Input'!$D:$D)=0,SUMIF('Production Data-Weekly input'!$A:$A,$A32,'Production Data-Weekly input'!$C:$C)=0),"",IF(C32="",D31,C32+D31))</f>
        <v/>
      </c>
      <c r="E32" s="276" t="str">
        <f>IF(F32="","",F32/Data!F$37)</f>
        <v/>
      </c>
      <c r="F32" s="277" t="str">
        <f>IF(D32="","",Data!$F$37-D32)</f>
        <v/>
      </c>
      <c r="G32" s="278" t="str">
        <f>IF(F32="","",IF(SUMIF('Production Data-Daily Input'!$B:$B,"Total "&amp;$A32,'Production Data-Daily Input'!$D:$D)&lt;&gt;0,SUMIF('Production Data-Daily Input'!$B:$B,"Total "&amp;$A32,'Production Data-Daily Input'!$D:$D),IF(SUMIF('Production Data-Weekly input'!$A:$A,$A32,'Production Data-Weekly input'!$C:$C)=0,0,SUMIF('Production Data-Weekly input'!$A:$A,$A32,'Production Data-Weekly input'!$C:$C)/100*7*$F32)))</f>
        <v/>
      </c>
      <c r="H32" s="279" t="str">
        <f>IF(AND(G32="",'Production Data-Weekly input'!C29=""),"",IF(G32="",'Production Data-Weekly input'!C29,G32/F32/7*100))</f>
        <v/>
      </c>
      <c r="I32" s="300" t="str">
        <f>Standard!D24</f>
        <v/>
      </c>
      <c r="J32" s="275">
        <f t="shared" si="6"/>
        <v>0</v>
      </c>
      <c r="K32" s="281" t="str">
        <f>IF(H32="","",J32/Data!F$37)</f>
        <v/>
      </c>
      <c r="L32" s="301" t="str">
        <f>Standard!F24</f>
        <v/>
      </c>
      <c r="M32" s="283" t="str">
        <f>IF(IF(SUMIF('Production Data-Daily Input'!$B:$B,"Total "&amp;$A32,'Production Data-Daily Input'!$G:$G)&lt;&gt;0,SUMIF('Production Data-Daily Input'!$B:$B,"Total "&amp;$A32,'Production Data-Daily Input'!$G:$G),IF(SUMIF('Production Data-Weekly input'!$A:$A,$A32,'Production Data-Weekly input'!$F:$F)="","",SUMIF('Production Data-Weekly input'!$A:$A,$A32,'Production Data-Weekly input'!$F:$F)))=0,"",IF(SUMIF('Production Data-Daily Input'!$B:$B,"Total "&amp;$A32,'Production Data-Daily Input'!$G:$G)&lt;&gt;0,SUMIF('Production Data-Daily Input'!$B:$B,"Total "&amp;$A32,'Production Data-Daily Input'!$G:$G),IF(SUMIF('Production Data-Weekly input'!$A:$A,$A32,'Production Data-Weekly input'!$F:$F)="","",SUMIF('Production Data-Weekly input'!$A:$A,$A32,'Production Data-Weekly input'!$F:$F))))</f>
        <v/>
      </c>
      <c r="N32" s="302" t="str">
        <f>Standard!G24</f>
        <v/>
      </c>
      <c r="O32" s="285" t="str">
        <f t="shared" si="0"/>
        <v/>
      </c>
      <c r="P32" s="303" t="str">
        <f>Standard!H24</f>
        <v/>
      </c>
      <c r="Q32" s="287" t="str">
        <f>IF(Q31="","",IF(AND(H32="",Q31=""),"",IF(O32="","",IF(M32="",IF(Q31="",0,Q31),(M32*H32/100*7*F32/Data!F$37)+IF(Q31="",0,Q31)))))</f>
        <v/>
      </c>
      <c r="R32" s="288" t="str">
        <f>Standard!I24</f>
        <v/>
      </c>
      <c r="S32" s="289" t="str">
        <f>IF(AND(F32="",Q32=""),"",IF(J32&lt;&gt;"",IF(Q32="","",Q32*Data!F$37/J32),""))</f>
        <v/>
      </c>
      <c r="T32" s="290" t="str">
        <f>Standard!J24</f>
        <v/>
      </c>
      <c r="U32" s="291" t="str">
        <f t="shared" si="1"/>
        <v/>
      </c>
      <c r="V32" s="292" t="str">
        <f>IF(F32="","",IF(SUMIF('Production Data-Weekly input'!$A:$A,A32,'Production Data-Weekly input'!$G:$G)&lt;&gt;0,SUMIF('Production Data-Weekly input'!$A:$A,A32,'Production Data-Weekly input'!$G:$G),(SUMIF('Production Data-Daily Input'!$B:$B,"Total "&amp;A32,'Production Data-Daily Input'!$H:$H)*1000/7/F32)))</f>
        <v/>
      </c>
      <c r="W32" s="293" t="str">
        <f t="shared" si="3"/>
        <v/>
      </c>
      <c r="X32" s="293" t="str">
        <f>IF(W32&lt;&gt;"",W32/Data!F$37*1000/((A32-16)*7),"")</f>
        <v/>
      </c>
      <c r="Y32" s="400" t="str">
        <f t="shared" si="4"/>
        <v/>
      </c>
      <c r="Z32" s="294" t="str">
        <f>IF(F32="","",IF(OR(Q32=0,Q32=""),"",IF(W32&lt;&gt;0,W32/(Q32*Data!F$37/1000),"")))</f>
        <v/>
      </c>
      <c r="AA32" s="295" t="str">
        <f>IF(AND(U32=0,SUMIF('Production Data-Weekly input'!$A:$A,$A32,'Production Data-Weekly input'!$H:$H)=0,SUMIF('Production Data-Daily Input'!$B:$B,"Total "&amp;A32,'Production Data-Daily Input'!$I:$I)=0),"",IF(F32="","",IF(SUMIF('Production Data-Weekly input'!$A:$A,$A32,'Production Data-Weekly input'!$H:$H)&lt;&gt;0,SUMIF('Production Data-Weekly input'!$A:$A,$A32,'Production Data-Weekly input'!$H:$H)*7/U32,SUMIF('Production Data-Daily Input'!$B:$B,"Total "&amp;A32,'Production Data-Daily Input'!$I:$I)*7/U32)))</f>
        <v/>
      </c>
      <c r="AB32" s="278">
        <f>SUMIF('Production Data-Daily Input'!$B:$B,"Total "&amp;$A32,'Production Data-Daily Input'!$E:$E)</f>
        <v>0</v>
      </c>
      <c r="AC32" s="296" t="str">
        <f>IF(F32="","",IF(G32&lt;&gt;0,IF(AB32&lt;&gt;0,AB32/G32,'Production Data-Weekly input'!D29/100),""))</f>
        <v/>
      </c>
      <c r="AD32" s="275">
        <f>SUMIF('Production Data-Daily Input'!$B:$B,"Total "&amp;$A32,'Production Data-Daily Input'!$F:$F)</f>
        <v>0</v>
      </c>
      <c r="AE32" s="296" t="str">
        <f>IF(F32="","",IF(G32&lt;&gt;0,IF(AD32&lt;&gt;0,AD32/G32,'Production Data-Weekly input'!E29/100),""))</f>
        <v/>
      </c>
      <c r="AF32" s="275">
        <f t="shared" si="5"/>
        <v>0</v>
      </c>
      <c r="AG32" s="297" t="str">
        <f t="shared" si="7"/>
        <v/>
      </c>
      <c r="AH32" s="298" t="str">
        <f>IF(AND(SUMIF('Production Data-Daily Input'!$B:$B,"Total "&amp;A32,'Production Data-Daily Input'!$J:$J)=0,SUMIF('Production Data-Weekly input'!$A:$A,A32,'Production Data-Weekly input'!$I:$I)=0),"",IF(SUMIF('Production Data-Daily Input'!$B:$B,"Total "&amp;A32,'Production Data-Daily Input'!$J:$J)&lt;&gt;0,SUMIF('Production Data-Daily Input'!$B:$B,"Total "&amp;A32,'Production Data-Daily Input'!$J:$J),SUMIF('Production Data-Weekly input'!$A:$A,A32,'Production Data-Weekly input'!$I:$I)))</f>
        <v/>
      </c>
    </row>
    <row r="33" spans="1:34" s="299" customFormat="1" ht="24.95" customHeight="1" x14ac:dyDescent="0.25">
      <c r="A33" s="273">
        <f t="shared" si="2"/>
        <v>35</v>
      </c>
      <c r="B33" s="429" t="str">
        <f>'Production Data-Daily Input'!B150</f>
        <v/>
      </c>
      <c r="C33" s="274" t="str">
        <f>IF(IF(AND(SUMIF('Production Data-Daily Input'!$B:$B,"Total "&amp;$A33,'Production Data-Daily Input'!$C:$C)="",SUMIF('Production Data-Weekly input'!$A:$A,A33,'Production Data-Weekly input'!$B:$B)=""),"",IF(SUMIF('Production Data-Daily Input'!$B:$B,"Total "&amp;$A33,'Production Data-Daily Input'!$C:$C)&lt;&gt;0,SUMIF('Production Data-Daily Input'!$B:$B,"Total "&amp;$A33,'Production Data-Daily Input'!$C:$C),SUMIF('Production Data-Weekly input'!$A:$A,A33,'Production Data-Weekly input'!$B:$B)/100*Data!$F$37))=0,"",IF(AND(SUMIF('Production Data-Daily Input'!$B:$B,"Total "&amp;$A33,'Production Data-Daily Input'!$C:$C)="",SUMIF('Production Data-Weekly input'!$A:$A,A33,'Production Data-Weekly input'!$B:$B)=""),"",IF(SUMIF('Production Data-Daily Input'!$B:$B,"Total "&amp;$A33,'Production Data-Daily Input'!$C:$C)&lt;&gt;0,SUMIF('Production Data-Daily Input'!$B:$B,"Total "&amp;$A33,'Production Data-Daily Input'!$C:$C),SUMIF('Production Data-Weekly input'!$A:$A,A33,'Production Data-Weekly input'!$B:$B)/100*Data!$F$37)))</f>
        <v/>
      </c>
      <c r="D33" s="275" t="str">
        <f>IF(AND(SUM(C33:$C$88)=0,SUMIF('Production Data-Daily Input'!$B:$B,"Total "&amp;$A33,'Production Data-Daily Input'!$D:$D)=0,SUMIF('Production Data-Weekly input'!$A:$A,$A33,'Production Data-Weekly input'!$C:$C)=0),"",IF(C33="",D32,C33+D32))</f>
        <v/>
      </c>
      <c r="E33" s="276" t="str">
        <f>IF(F33="","",F33/Data!F$37)</f>
        <v/>
      </c>
      <c r="F33" s="277" t="str">
        <f>IF(D33="","",Data!$F$37-D33)</f>
        <v/>
      </c>
      <c r="G33" s="278" t="str">
        <f>IF(F33="","",IF(SUMIF('Production Data-Daily Input'!$B:$B,"Total "&amp;$A33,'Production Data-Daily Input'!$D:$D)&lt;&gt;0,SUMIF('Production Data-Daily Input'!$B:$B,"Total "&amp;$A33,'Production Data-Daily Input'!$D:$D),IF(SUMIF('Production Data-Weekly input'!$A:$A,$A33,'Production Data-Weekly input'!$C:$C)=0,0,SUMIF('Production Data-Weekly input'!$A:$A,$A33,'Production Data-Weekly input'!$C:$C)/100*7*$F33)))</f>
        <v/>
      </c>
      <c r="H33" s="279" t="str">
        <f>IF(AND(G33="",'Production Data-Weekly input'!C30=""),"",IF(G33="",'Production Data-Weekly input'!C30,G33/F33/7*100))</f>
        <v/>
      </c>
      <c r="I33" s="300" t="str">
        <f>Standard!D25</f>
        <v/>
      </c>
      <c r="J33" s="275">
        <f t="shared" si="6"/>
        <v>0</v>
      </c>
      <c r="K33" s="281" t="str">
        <f>IF(H33="","",J33/Data!F$37)</f>
        <v/>
      </c>
      <c r="L33" s="301" t="str">
        <f>Standard!F25</f>
        <v/>
      </c>
      <c r="M33" s="283" t="str">
        <f>IF(IF(SUMIF('Production Data-Daily Input'!$B:$B,"Total "&amp;$A33,'Production Data-Daily Input'!$G:$G)&lt;&gt;0,SUMIF('Production Data-Daily Input'!$B:$B,"Total "&amp;$A33,'Production Data-Daily Input'!$G:$G),IF(SUMIF('Production Data-Weekly input'!$A:$A,$A33,'Production Data-Weekly input'!$F:$F)="","",SUMIF('Production Data-Weekly input'!$A:$A,$A33,'Production Data-Weekly input'!$F:$F)))=0,"",IF(SUMIF('Production Data-Daily Input'!$B:$B,"Total "&amp;$A33,'Production Data-Daily Input'!$G:$G)&lt;&gt;0,SUMIF('Production Data-Daily Input'!$B:$B,"Total "&amp;$A33,'Production Data-Daily Input'!$G:$G),IF(SUMIF('Production Data-Weekly input'!$A:$A,$A33,'Production Data-Weekly input'!$F:$F)="","",SUMIF('Production Data-Weekly input'!$A:$A,$A33,'Production Data-Weekly input'!$F:$F))))</f>
        <v/>
      </c>
      <c r="N33" s="302" t="str">
        <f>Standard!G25</f>
        <v/>
      </c>
      <c r="O33" s="285" t="str">
        <f t="shared" si="0"/>
        <v/>
      </c>
      <c r="P33" s="303" t="str">
        <f>Standard!H25</f>
        <v/>
      </c>
      <c r="Q33" s="287" t="str">
        <f>IF(Q32="","",IF(AND(H33="",Q32=""),"",IF(O33="","",IF(M33="",IF(Q32="",0,Q32),(M33*H33/100*7*F33/Data!F$37)+IF(Q32="",0,Q32)))))</f>
        <v/>
      </c>
      <c r="R33" s="288" t="str">
        <f>Standard!I25</f>
        <v/>
      </c>
      <c r="S33" s="289" t="str">
        <f>IF(AND(F33="",Q33=""),"",IF(J33&lt;&gt;"",IF(Q33="","",Q33*Data!F$37/J33),""))</f>
        <v/>
      </c>
      <c r="T33" s="290" t="str">
        <f>Standard!J25</f>
        <v/>
      </c>
      <c r="U33" s="291" t="str">
        <f t="shared" si="1"/>
        <v/>
      </c>
      <c r="V33" s="292" t="str">
        <f>IF(F33="","",IF(SUMIF('Production Data-Weekly input'!$A:$A,A33,'Production Data-Weekly input'!$G:$G)&lt;&gt;0,SUMIF('Production Data-Weekly input'!$A:$A,A33,'Production Data-Weekly input'!$G:$G),(SUMIF('Production Data-Daily Input'!$B:$B,"Total "&amp;A33,'Production Data-Daily Input'!$H:$H)*1000/7/F33)))</f>
        <v/>
      </c>
      <c r="W33" s="293" t="str">
        <f t="shared" si="3"/>
        <v/>
      </c>
      <c r="X33" s="293" t="str">
        <f>IF(W33&lt;&gt;"",W33/Data!F$37*1000/((A33-16)*7),"")</f>
        <v/>
      </c>
      <c r="Y33" s="400" t="str">
        <f t="shared" si="4"/>
        <v/>
      </c>
      <c r="Z33" s="294" t="str">
        <f>IF(F33="","",IF(OR(Q33=0,Q33=""),"",IF(W33&lt;&gt;0,W33/(Q33*Data!F$37/1000),"")))</f>
        <v/>
      </c>
      <c r="AA33" s="295" t="str">
        <f>IF(AND(U33=0,SUMIF('Production Data-Weekly input'!$A:$A,$A33,'Production Data-Weekly input'!$H:$H)=0,SUMIF('Production Data-Daily Input'!$B:$B,"Total "&amp;A33,'Production Data-Daily Input'!$I:$I)=0),"",IF(F33="","",IF(SUMIF('Production Data-Weekly input'!$A:$A,$A33,'Production Data-Weekly input'!$H:$H)&lt;&gt;0,SUMIF('Production Data-Weekly input'!$A:$A,$A33,'Production Data-Weekly input'!$H:$H)*7/U33,SUMIF('Production Data-Daily Input'!$B:$B,"Total "&amp;A33,'Production Data-Daily Input'!$I:$I)*7/U33)))</f>
        <v/>
      </c>
      <c r="AB33" s="278">
        <f>SUMIF('Production Data-Daily Input'!$B:$B,"Total "&amp;$A33,'Production Data-Daily Input'!$E:$E)</f>
        <v>0</v>
      </c>
      <c r="AC33" s="296" t="str">
        <f>IF(F33="","",IF(G33&lt;&gt;0,IF(AB33&lt;&gt;0,AB33/G33,'Production Data-Weekly input'!D30/100),""))</f>
        <v/>
      </c>
      <c r="AD33" s="275">
        <f>SUMIF('Production Data-Daily Input'!$B:$B,"Total "&amp;$A33,'Production Data-Daily Input'!$F:$F)</f>
        <v>0</v>
      </c>
      <c r="AE33" s="296" t="str">
        <f>IF(F33="","",IF(G33&lt;&gt;0,IF(AD33&lt;&gt;0,AD33/G33,'Production Data-Weekly input'!E30/100),""))</f>
        <v/>
      </c>
      <c r="AF33" s="275">
        <f t="shared" si="5"/>
        <v>0</v>
      </c>
      <c r="AG33" s="297" t="str">
        <f t="shared" si="7"/>
        <v/>
      </c>
      <c r="AH33" s="298" t="str">
        <f>IF(AND(SUMIF('Production Data-Daily Input'!$B:$B,"Total "&amp;A33,'Production Data-Daily Input'!$J:$J)=0,SUMIF('Production Data-Weekly input'!$A:$A,A33,'Production Data-Weekly input'!$I:$I)=0),"",IF(SUMIF('Production Data-Daily Input'!$B:$B,"Total "&amp;A33,'Production Data-Daily Input'!$J:$J)&lt;&gt;0,SUMIF('Production Data-Daily Input'!$B:$B,"Total "&amp;A33,'Production Data-Daily Input'!$J:$J),SUMIF('Production Data-Weekly input'!$A:$A,A33,'Production Data-Weekly input'!$I:$I)))</f>
        <v/>
      </c>
    </row>
    <row r="34" spans="1:34" s="299" customFormat="1" ht="24.95" customHeight="1" x14ac:dyDescent="0.25">
      <c r="A34" s="273">
        <f t="shared" si="2"/>
        <v>36</v>
      </c>
      <c r="B34" s="429" t="str">
        <f>'Production Data-Daily Input'!B158</f>
        <v/>
      </c>
      <c r="C34" s="274" t="str">
        <f>IF(IF(AND(SUMIF('Production Data-Daily Input'!$B:$B,"Total "&amp;$A34,'Production Data-Daily Input'!$C:$C)="",SUMIF('Production Data-Weekly input'!$A:$A,A34,'Production Data-Weekly input'!$B:$B)=""),"",IF(SUMIF('Production Data-Daily Input'!$B:$B,"Total "&amp;$A34,'Production Data-Daily Input'!$C:$C)&lt;&gt;0,SUMIF('Production Data-Daily Input'!$B:$B,"Total "&amp;$A34,'Production Data-Daily Input'!$C:$C),SUMIF('Production Data-Weekly input'!$A:$A,A34,'Production Data-Weekly input'!$B:$B)/100*Data!$F$37))=0,"",IF(AND(SUMIF('Production Data-Daily Input'!$B:$B,"Total "&amp;$A34,'Production Data-Daily Input'!$C:$C)="",SUMIF('Production Data-Weekly input'!$A:$A,A34,'Production Data-Weekly input'!$B:$B)=""),"",IF(SUMIF('Production Data-Daily Input'!$B:$B,"Total "&amp;$A34,'Production Data-Daily Input'!$C:$C)&lt;&gt;0,SUMIF('Production Data-Daily Input'!$B:$B,"Total "&amp;$A34,'Production Data-Daily Input'!$C:$C),SUMIF('Production Data-Weekly input'!$A:$A,A34,'Production Data-Weekly input'!$B:$B)/100*Data!$F$37)))</f>
        <v/>
      </c>
      <c r="D34" s="275" t="str">
        <f>IF(AND(SUM(C34:$C$88)=0,SUMIF('Production Data-Daily Input'!$B:$B,"Total "&amp;$A34,'Production Data-Daily Input'!$D:$D)=0,SUMIF('Production Data-Weekly input'!$A:$A,$A34,'Production Data-Weekly input'!$C:$C)=0),"",IF(C34="",D33,C34+D33))</f>
        <v/>
      </c>
      <c r="E34" s="276" t="str">
        <f>IF(F34="","",F34/Data!F$37)</f>
        <v/>
      </c>
      <c r="F34" s="277" t="str">
        <f>IF(D34="","",Data!$F$37-D34)</f>
        <v/>
      </c>
      <c r="G34" s="278" t="str">
        <f>IF(F34="","",IF(SUMIF('Production Data-Daily Input'!$B:$B,"Total "&amp;$A34,'Production Data-Daily Input'!$D:$D)&lt;&gt;0,SUMIF('Production Data-Daily Input'!$B:$B,"Total "&amp;$A34,'Production Data-Daily Input'!$D:$D),IF(SUMIF('Production Data-Weekly input'!$A:$A,$A34,'Production Data-Weekly input'!$C:$C)=0,0,SUMIF('Production Data-Weekly input'!$A:$A,$A34,'Production Data-Weekly input'!$C:$C)/100*7*$F34)))</f>
        <v/>
      </c>
      <c r="H34" s="279" t="str">
        <f>IF(AND(G34="",'Production Data-Weekly input'!C31=""),"",IF(G34="",'Production Data-Weekly input'!C31,G34/F34/7*100))</f>
        <v/>
      </c>
      <c r="I34" s="300" t="str">
        <f>Standard!D26</f>
        <v/>
      </c>
      <c r="J34" s="275">
        <f t="shared" si="6"/>
        <v>0</v>
      </c>
      <c r="K34" s="281" t="str">
        <f>IF(H34="","",J34/Data!F$37)</f>
        <v/>
      </c>
      <c r="L34" s="301" t="str">
        <f>Standard!F26</f>
        <v/>
      </c>
      <c r="M34" s="283" t="str">
        <f>IF(IF(SUMIF('Production Data-Daily Input'!$B:$B,"Total "&amp;$A34,'Production Data-Daily Input'!$G:$G)&lt;&gt;0,SUMIF('Production Data-Daily Input'!$B:$B,"Total "&amp;$A34,'Production Data-Daily Input'!$G:$G),IF(SUMIF('Production Data-Weekly input'!$A:$A,$A34,'Production Data-Weekly input'!$F:$F)="","",SUMIF('Production Data-Weekly input'!$A:$A,$A34,'Production Data-Weekly input'!$F:$F)))=0,"",IF(SUMIF('Production Data-Daily Input'!$B:$B,"Total "&amp;$A34,'Production Data-Daily Input'!$G:$G)&lt;&gt;0,SUMIF('Production Data-Daily Input'!$B:$B,"Total "&amp;$A34,'Production Data-Daily Input'!$G:$G),IF(SUMIF('Production Data-Weekly input'!$A:$A,$A34,'Production Data-Weekly input'!$F:$F)="","",SUMIF('Production Data-Weekly input'!$A:$A,$A34,'Production Data-Weekly input'!$F:$F))))</f>
        <v/>
      </c>
      <c r="N34" s="302" t="str">
        <f>Standard!G26</f>
        <v/>
      </c>
      <c r="O34" s="285" t="str">
        <f t="shared" si="0"/>
        <v/>
      </c>
      <c r="P34" s="303" t="str">
        <f>Standard!H26</f>
        <v/>
      </c>
      <c r="Q34" s="287" t="str">
        <f>IF(Q33="","",IF(AND(H34="",Q33=""),"",IF(O34="","",IF(M34="",IF(Q33="",0,Q33),(M34*H34/100*7*F34/Data!F$37)+IF(Q33="",0,Q33)))))</f>
        <v/>
      </c>
      <c r="R34" s="288" t="str">
        <f>Standard!I26</f>
        <v/>
      </c>
      <c r="S34" s="289" t="str">
        <f>IF(AND(F34="",Q34=""),"",IF(J34&lt;&gt;"",IF(Q34="","",Q34*Data!F$37/J34),""))</f>
        <v/>
      </c>
      <c r="T34" s="290" t="str">
        <f>Standard!J26</f>
        <v/>
      </c>
      <c r="U34" s="291" t="str">
        <f t="shared" si="1"/>
        <v/>
      </c>
      <c r="V34" s="292" t="str">
        <f>IF(F34="","",IF(SUMIF('Production Data-Weekly input'!$A:$A,A34,'Production Data-Weekly input'!$G:$G)&lt;&gt;0,SUMIF('Production Data-Weekly input'!$A:$A,A34,'Production Data-Weekly input'!$G:$G),(SUMIF('Production Data-Daily Input'!$B:$B,"Total "&amp;A34,'Production Data-Daily Input'!$H:$H)*1000/7/F34)))</f>
        <v/>
      </c>
      <c r="W34" s="293" t="str">
        <f t="shared" si="3"/>
        <v/>
      </c>
      <c r="X34" s="293" t="str">
        <f>IF(W34&lt;&gt;"",W34/Data!F$37*1000/((A34-16)*7),"")</f>
        <v/>
      </c>
      <c r="Y34" s="400" t="str">
        <f t="shared" si="4"/>
        <v/>
      </c>
      <c r="Z34" s="294" t="str">
        <f>IF(F34="","",IF(OR(Q34=0,Q34=""),"",IF(W34&lt;&gt;0,W34/(Q34*Data!F$37/1000),"")))</f>
        <v/>
      </c>
      <c r="AA34" s="295" t="str">
        <f>IF(AND(U34=0,SUMIF('Production Data-Weekly input'!$A:$A,$A34,'Production Data-Weekly input'!$H:$H)=0,SUMIF('Production Data-Daily Input'!$B:$B,"Total "&amp;A34,'Production Data-Daily Input'!$I:$I)=0),"",IF(F34="","",IF(SUMIF('Production Data-Weekly input'!$A:$A,$A34,'Production Data-Weekly input'!$H:$H)&lt;&gt;0,SUMIF('Production Data-Weekly input'!$A:$A,$A34,'Production Data-Weekly input'!$H:$H)*7/U34,SUMIF('Production Data-Daily Input'!$B:$B,"Total "&amp;A34,'Production Data-Daily Input'!$I:$I)*7/U34)))</f>
        <v/>
      </c>
      <c r="AB34" s="278">
        <f>SUMIF('Production Data-Daily Input'!$B:$B,"Total "&amp;$A34,'Production Data-Daily Input'!$E:$E)</f>
        <v>0</v>
      </c>
      <c r="AC34" s="296" t="str">
        <f>IF(F34="","",IF(G34&lt;&gt;0,IF(AB34&lt;&gt;0,AB34/G34,'Production Data-Weekly input'!D31/100),""))</f>
        <v/>
      </c>
      <c r="AD34" s="275">
        <f>SUMIF('Production Data-Daily Input'!$B:$B,"Total "&amp;$A34,'Production Data-Daily Input'!$F:$F)</f>
        <v>0</v>
      </c>
      <c r="AE34" s="296" t="str">
        <f>IF(F34="","",IF(G34&lt;&gt;0,IF(AD34&lt;&gt;0,AD34/G34,'Production Data-Weekly input'!E31/100),""))</f>
        <v/>
      </c>
      <c r="AF34" s="275">
        <f t="shared" si="5"/>
        <v>0</v>
      </c>
      <c r="AG34" s="297" t="str">
        <f t="shared" si="7"/>
        <v/>
      </c>
      <c r="AH34" s="298" t="str">
        <f>IF(AND(SUMIF('Production Data-Daily Input'!$B:$B,"Total "&amp;A34,'Production Data-Daily Input'!$J:$J)=0,SUMIF('Production Data-Weekly input'!$A:$A,A34,'Production Data-Weekly input'!$I:$I)=0),"",IF(SUMIF('Production Data-Daily Input'!$B:$B,"Total "&amp;A34,'Production Data-Daily Input'!$J:$J)&lt;&gt;0,SUMIF('Production Data-Daily Input'!$B:$B,"Total "&amp;A34,'Production Data-Daily Input'!$J:$J),SUMIF('Production Data-Weekly input'!$A:$A,A34,'Production Data-Weekly input'!$I:$I)))</f>
        <v/>
      </c>
    </row>
    <row r="35" spans="1:34" s="299" customFormat="1" ht="24.95" customHeight="1" x14ac:dyDescent="0.25">
      <c r="A35" s="273">
        <f t="shared" si="2"/>
        <v>37</v>
      </c>
      <c r="B35" s="429" t="str">
        <f>'Production Data-Daily Input'!B166</f>
        <v/>
      </c>
      <c r="C35" s="274" t="str">
        <f>IF(IF(AND(SUMIF('Production Data-Daily Input'!$B:$B,"Total "&amp;$A35,'Production Data-Daily Input'!$C:$C)="",SUMIF('Production Data-Weekly input'!$A:$A,A35,'Production Data-Weekly input'!$B:$B)=""),"",IF(SUMIF('Production Data-Daily Input'!$B:$B,"Total "&amp;$A35,'Production Data-Daily Input'!$C:$C)&lt;&gt;0,SUMIF('Production Data-Daily Input'!$B:$B,"Total "&amp;$A35,'Production Data-Daily Input'!$C:$C),SUMIF('Production Data-Weekly input'!$A:$A,A35,'Production Data-Weekly input'!$B:$B)/100*Data!$F$37))=0,"",IF(AND(SUMIF('Production Data-Daily Input'!$B:$B,"Total "&amp;$A35,'Production Data-Daily Input'!$C:$C)="",SUMIF('Production Data-Weekly input'!$A:$A,A35,'Production Data-Weekly input'!$B:$B)=""),"",IF(SUMIF('Production Data-Daily Input'!$B:$B,"Total "&amp;$A35,'Production Data-Daily Input'!$C:$C)&lt;&gt;0,SUMIF('Production Data-Daily Input'!$B:$B,"Total "&amp;$A35,'Production Data-Daily Input'!$C:$C),SUMIF('Production Data-Weekly input'!$A:$A,A35,'Production Data-Weekly input'!$B:$B)/100*Data!$F$37)))</f>
        <v/>
      </c>
      <c r="D35" s="275" t="str">
        <f>IF(AND(SUM(C35:$C$88)=0,SUMIF('Production Data-Daily Input'!$B:$B,"Total "&amp;$A35,'Production Data-Daily Input'!$D:$D)=0,SUMIF('Production Data-Weekly input'!$A:$A,$A35,'Production Data-Weekly input'!$C:$C)=0),"",IF(C35="",D34,C35+D34))</f>
        <v/>
      </c>
      <c r="E35" s="276" t="str">
        <f>IF(F35="","",F35/Data!F$37)</f>
        <v/>
      </c>
      <c r="F35" s="277" t="str">
        <f>IF(D35="","",Data!$F$37-D35)</f>
        <v/>
      </c>
      <c r="G35" s="278" t="str">
        <f>IF(F35="","",IF(SUMIF('Production Data-Daily Input'!$B:$B,"Total "&amp;$A35,'Production Data-Daily Input'!$D:$D)&lt;&gt;0,SUMIF('Production Data-Daily Input'!$B:$B,"Total "&amp;$A35,'Production Data-Daily Input'!$D:$D),IF(SUMIF('Production Data-Weekly input'!$A:$A,$A35,'Production Data-Weekly input'!$C:$C)=0,0,SUMIF('Production Data-Weekly input'!$A:$A,$A35,'Production Data-Weekly input'!$C:$C)/100*7*$F35)))</f>
        <v/>
      </c>
      <c r="H35" s="279" t="str">
        <f>IF(AND(G35="",'Production Data-Weekly input'!C32=""),"",IF(G35="",'Production Data-Weekly input'!C32,G35/F35/7*100))</f>
        <v/>
      </c>
      <c r="I35" s="300" t="str">
        <f>Standard!D27</f>
        <v/>
      </c>
      <c r="J35" s="275">
        <f t="shared" si="6"/>
        <v>0</v>
      </c>
      <c r="K35" s="281" t="str">
        <f>IF(H35="","",J35/Data!F$37)</f>
        <v/>
      </c>
      <c r="L35" s="301" t="str">
        <f>Standard!F27</f>
        <v/>
      </c>
      <c r="M35" s="283" t="str">
        <f>IF(IF(SUMIF('Production Data-Daily Input'!$B:$B,"Total "&amp;$A35,'Production Data-Daily Input'!$G:$G)&lt;&gt;0,SUMIF('Production Data-Daily Input'!$B:$B,"Total "&amp;$A35,'Production Data-Daily Input'!$G:$G),IF(SUMIF('Production Data-Weekly input'!$A:$A,$A35,'Production Data-Weekly input'!$F:$F)="","",SUMIF('Production Data-Weekly input'!$A:$A,$A35,'Production Data-Weekly input'!$F:$F)))=0,"",IF(SUMIF('Production Data-Daily Input'!$B:$B,"Total "&amp;$A35,'Production Data-Daily Input'!$G:$G)&lt;&gt;0,SUMIF('Production Data-Daily Input'!$B:$B,"Total "&amp;$A35,'Production Data-Daily Input'!$G:$G),IF(SUMIF('Production Data-Weekly input'!$A:$A,$A35,'Production Data-Weekly input'!$F:$F)="","",SUMIF('Production Data-Weekly input'!$A:$A,$A35,'Production Data-Weekly input'!$F:$F))))</f>
        <v/>
      </c>
      <c r="N35" s="302" t="str">
        <f>Standard!G27</f>
        <v/>
      </c>
      <c r="O35" s="285" t="str">
        <f t="shared" si="0"/>
        <v/>
      </c>
      <c r="P35" s="303" t="str">
        <f>Standard!H27</f>
        <v/>
      </c>
      <c r="Q35" s="287" t="str">
        <f>IF(Q34="","",IF(AND(H35="",Q34=""),"",IF(O35="","",IF(M35="",IF(Q34="",0,Q34),(M35*H35/100*7*F35/Data!F$37)+IF(Q34="",0,Q34)))))</f>
        <v/>
      </c>
      <c r="R35" s="288" t="str">
        <f>Standard!I27</f>
        <v/>
      </c>
      <c r="S35" s="289" t="str">
        <f>IF(AND(F35="",Q35=""),"",IF(J35&lt;&gt;"",IF(Q35="","",Q35*Data!F$37/J35),""))</f>
        <v/>
      </c>
      <c r="T35" s="290" t="str">
        <f>Standard!J27</f>
        <v/>
      </c>
      <c r="U35" s="291" t="str">
        <f t="shared" si="1"/>
        <v/>
      </c>
      <c r="V35" s="292" t="str">
        <f>IF(F35="","",IF(SUMIF('Production Data-Weekly input'!$A:$A,A35,'Production Data-Weekly input'!$G:$G)&lt;&gt;0,SUMIF('Production Data-Weekly input'!$A:$A,A35,'Production Data-Weekly input'!$G:$G),(SUMIF('Production Data-Daily Input'!$B:$B,"Total "&amp;A35,'Production Data-Daily Input'!$H:$H)*1000/7/F35)))</f>
        <v/>
      </c>
      <c r="W35" s="293" t="str">
        <f t="shared" si="3"/>
        <v/>
      </c>
      <c r="X35" s="293" t="str">
        <f>IF(W35&lt;&gt;"",W35/Data!F$37*1000/((A35-16)*7),"")</f>
        <v/>
      </c>
      <c r="Y35" s="400" t="str">
        <f t="shared" si="4"/>
        <v/>
      </c>
      <c r="Z35" s="294" t="str">
        <f>IF(F35="","",IF(OR(Q35=0,Q35=""),"",IF(W35&lt;&gt;0,W35/(Q35*Data!F$37/1000),"")))</f>
        <v/>
      </c>
      <c r="AA35" s="295" t="str">
        <f>IF(AND(U35=0,SUMIF('Production Data-Weekly input'!$A:$A,$A35,'Production Data-Weekly input'!$H:$H)=0,SUMIF('Production Data-Daily Input'!$B:$B,"Total "&amp;A35,'Production Data-Daily Input'!$I:$I)=0),"",IF(F35="","",IF(SUMIF('Production Data-Weekly input'!$A:$A,$A35,'Production Data-Weekly input'!$H:$H)&lt;&gt;0,SUMIF('Production Data-Weekly input'!$A:$A,$A35,'Production Data-Weekly input'!$H:$H)*7/U35,SUMIF('Production Data-Daily Input'!$B:$B,"Total "&amp;A35,'Production Data-Daily Input'!$I:$I)*7/U35)))</f>
        <v/>
      </c>
      <c r="AB35" s="278">
        <f>SUMIF('Production Data-Daily Input'!$B:$B,"Total "&amp;$A35,'Production Data-Daily Input'!$E:$E)</f>
        <v>0</v>
      </c>
      <c r="AC35" s="296" t="str">
        <f>IF(F35="","",IF(G35&lt;&gt;0,IF(AB35&lt;&gt;0,AB35/G35,'Production Data-Weekly input'!D32/100),""))</f>
        <v/>
      </c>
      <c r="AD35" s="275">
        <f>SUMIF('Production Data-Daily Input'!$B:$B,"Total "&amp;$A35,'Production Data-Daily Input'!$F:$F)</f>
        <v>0</v>
      </c>
      <c r="AE35" s="296" t="str">
        <f>IF(F35="","",IF(G35&lt;&gt;0,IF(AD35&lt;&gt;0,AD35/G35,'Production Data-Weekly input'!E32/100),""))</f>
        <v/>
      </c>
      <c r="AF35" s="275">
        <f t="shared" si="5"/>
        <v>0</v>
      </c>
      <c r="AG35" s="297" t="str">
        <f t="shared" si="7"/>
        <v/>
      </c>
      <c r="AH35" s="298" t="str">
        <f>IF(AND(SUMIF('Production Data-Daily Input'!$B:$B,"Total "&amp;A35,'Production Data-Daily Input'!$J:$J)=0,SUMIF('Production Data-Weekly input'!$A:$A,A35,'Production Data-Weekly input'!$I:$I)=0),"",IF(SUMIF('Production Data-Daily Input'!$B:$B,"Total "&amp;A35,'Production Data-Daily Input'!$J:$J)&lt;&gt;0,SUMIF('Production Data-Daily Input'!$B:$B,"Total "&amp;A35,'Production Data-Daily Input'!$J:$J),SUMIF('Production Data-Weekly input'!$A:$A,A35,'Production Data-Weekly input'!$I:$I)))</f>
        <v/>
      </c>
    </row>
    <row r="36" spans="1:34" s="299" customFormat="1" ht="24.95" customHeight="1" x14ac:dyDescent="0.25">
      <c r="A36" s="273">
        <f t="shared" si="2"/>
        <v>38</v>
      </c>
      <c r="B36" s="429" t="str">
        <f>'Production Data-Daily Input'!B174</f>
        <v/>
      </c>
      <c r="C36" s="274" t="str">
        <f>IF(IF(AND(SUMIF('Production Data-Daily Input'!$B:$B,"Total "&amp;$A36,'Production Data-Daily Input'!$C:$C)="",SUMIF('Production Data-Weekly input'!$A:$A,A36,'Production Data-Weekly input'!$B:$B)=""),"",IF(SUMIF('Production Data-Daily Input'!$B:$B,"Total "&amp;$A36,'Production Data-Daily Input'!$C:$C)&lt;&gt;0,SUMIF('Production Data-Daily Input'!$B:$B,"Total "&amp;$A36,'Production Data-Daily Input'!$C:$C),SUMIF('Production Data-Weekly input'!$A:$A,A36,'Production Data-Weekly input'!$B:$B)/100*Data!$F$37))=0,"",IF(AND(SUMIF('Production Data-Daily Input'!$B:$B,"Total "&amp;$A36,'Production Data-Daily Input'!$C:$C)="",SUMIF('Production Data-Weekly input'!$A:$A,A36,'Production Data-Weekly input'!$B:$B)=""),"",IF(SUMIF('Production Data-Daily Input'!$B:$B,"Total "&amp;$A36,'Production Data-Daily Input'!$C:$C)&lt;&gt;0,SUMIF('Production Data-Daily Input'!$B:$B,"Total "&amp;$A36,'Production Data-Daily Input'!$C:$C),SUMIF('Production Data-Weekly input'!$A:$A,A36,'Production Data-Weekly input'!$B:$B)/100*Data!$F$37)))</f>
        <v/>
      </c>
      <c r="D36" s="275" t="str">
        <f>IF(AND(SUM(C36:$C$88)=0,SUMIF('Production Data-Daily Input'!$B:$B,"Total "&amp;$A36,'Production Data-Daily Input'!$D:$D)=0,SUMIF('Production Data-Weekly input'!$A:$A,$A36,'Production Data-Weekly input'!$C:$C)=0),"",IF(C36="",D35,C36+D35))</f>
        <v/>
      </c>
      <c r="E36" s="276" t="str">
        <f>IF(F36="","",F36/Data!F$37)</f>
        <v/>
      </c>
      <c r="F36" s="277" t="str">
        <f>IF(D36="","",Data!$F$37-D36)</f>
        <v/>
      </c>
      <c r="G36" s="278" t="str">
        <f>IF(F36="","",IF(SUMIF('Production Data-Daily Input'!$B:$B,"Total "&amp;$A36,'Production Data-Daily Input'!$D:$D)&lt;&gt;0,SUMIF('Production Data-Daily Input'!$B:$B,"Total "&amp;$A36,'Production Data-Daily Input'!$D:$D),IF(SUMIF('Production Data-Weekly input'!$A:$A,$A36,'Production Data-Weekly input'!$C:$C)=0,0,SUMIF('Production Data-Weekly input'!$A:$A,$A36,'Production Data-Weekly input'!$C:$C)/100*7*$F36)))</f>
        <v/>
      </c>
      <c r="H36" s="279" t="str">
        <f>IF(AND(G36="",'Production Data-Weekly input'!C33=""),"",IF(G36="",'Production Data-Weekly input'!C33,G36/F36/7*100))</f>
        <v/>
      </c>
      <c r="I36" s="300" t="str">
        <f>Standard!D28</f>
        <v/>
      </c>
      <c r="J36" s="275">
        <f t="shared" si="6"/>
        <v>0</v>
      </c>
      <c r="K36" s="281" t="str">
        <f>IF(H36="","",J36/Data!F$37)</f>
        <v/>
      </c>
      <c r="L36" s="301" t="str">
        <f>Standard!F28</f>
        <v/>
      </c>
      <c r="M36" s="283" t="str">
        <f>IF(IF(SUMIF('Production Data-Daily Input'!$B:$B,"Total "&amp;$A36,'Production Data-Daily Input'!$G:$G)&lt;&gt;0,SUMIF('Production Data-Daily Input'!$B:$B,"Total "&amp;$A36,'Production Data-Daily Input'!$G:$G),IF(SUMIF('Production Data-Weekly input'!$A:$A,$A36,'Production Data-Weekly input'!$F:$F)="","",SUMIF('Production Data-Weekly input'!$A:$A,$A36,'Production Data-Weekly input'!$F:$F)))=0,"",IF(SUMIF('Production Data-Daily Input'!$B:$B,"Total "&amp;$A36,'Production Data-Daily Input'!$G:$G)&lt;&gt;0,SUMIF('Production Data-Daily Input'!$B:$B,"Total "&amp;$A36,'Production Data-Daily Input'!$G:$G),IF(SUMIF('Production Data-Weekly input'!$A:$A,$A36,'Production Data-Weekly input'!$F:$F)="","",SUMIF('Production Data-Weekly input'!$A:$A,$A36,'Production Data-Weekly input'!$F:$F))))</f>
        <v/>
      </c>
      <c r="N36" s="302" t="str">
        <f>Standard!G28</f>
        <v/>
      </c>
      <c r="O36" s="285" t="str">
        <f t="shared" si="0"/>
        <v/>
      </c>
      <c r="P36" s="303" t="str">
        <f>Standard!H28</f>
        <v/>
      </c>
      <c r="Q36" s="287" t="str">
        <f>IF(Q35="","",IF(AND(H36="",Q35=""),"",IF(O36="","",IF(M36="",IF(Q35="",0,Q35),(M36*H36/100*7*F36/Data!F$37)+IF(Q35="",0,Q35)))))</f>
        <v/>
      </c>
      <c r="R36" s="288" t="str">
        <f>Standard!I28</f>
        <v/>
      </c>
      <c r="S36" s="289" t="str">
        <f>IF(AND(F36="",Q36=""),"",IF(J36&lt;&gt;"",IF(Q36="","",Q36*Data!F$37/J36),""))</f>
        <v/>
      </c>
      <c r="T36" s="290" t="str">
        <f>Standard!J28</f>
        <v/>
      </c>
      <c r="U36" s="291" t="str">
        <f t="shared" si="1"/>
        <v/>
      </c>
      <c r="V36" s="292" t="str">
        <f>IF(F36="","",IF(SUMIF('Production Data-Weekly input'!$A:$A,A36,'Production Data-Weekly input'!$G:$G)&lt;&gt;0,SUMIF('Production Data-Weekly input'!$A:$A,A36,'Production Data-Weekly input'!$G:$G),(SUMIF('Production Data-Daily Input'!$B:$B,"Total "&amp;A36,'Production Data-Daily Input'!$H:$H)*1000/7/F36)))</f>
        <v/>
      </c>
      <c r="W36" s="293" t="str">
        <f t="shared" si="3"/>
        <v/>
      </c>
      <c r="X36" s="293" t="str">
        <f>IF(W36&lt;&gt;"",W36/Data!F$37*1000/((A36-16)*7),"")</f>
        <v/>
      </c>
      <c r="Y36" s="400" t="str">
        <f t="shared" si="4"/>
        <v/>
      </c>
      <c r="Z36" s="294" t="str">
        <f>IF(F36="","",IF(OR(Q36=0,Q36=""),"",IF(W36&lt;&gt;0,W36/(Q36*Data!F$37/1000),"")))</f>
        <v/>
      </c>
      <c r="AA36" s="295" t="str">
        <f>IF(AND(U36=0,SUMIF('Production Data-Weekly input'!$A:$A,$A36,'Production Data-Weekly input'!$H:$H)=0,SUMIF('Production Data-Daily Input'!$B:$B,"Total "&amp;A36,'Production Data-Daily Input'!$I:$I)=0),"",IF(F36="","",IF(SUMIF('Production Data-Weekly input'!$A:$A,$A36,'Production Data-Weekly input'!$H:$H)&lt;&gt;0,SUMIF('Production Data-Weekly input'!$A:$A,$A36,'Production Data-Weekly input'!$H:$H)*7/U36,SUMIF('Production Data-Daily Input'!$B:$B,"Total "&amp;A36,'Production Data-Daily Input'!$I:$I)*7/U36)))</f>
        <v/>
      </c>
      <c r="AB36" s="278">
        <f>SUMIF('Production Data-Daily Input'!$B:$B,"Total "&amp;$A36,'Production Data-Daily Input'!$E:$E)</f>
        <v>0</v>
      </c>
      <c r="AC36" s="296" t="str">
        <f>IF(F36="","",IF(G36&lt;&gt;0,IF(AB36&lt;&gt;0,AB36/G36,'Production Data-Weekly input'!D33/100),""))</f>
        <v/>
      </c>
      <c r="AD36" s="275">
        <f>SUMIF('Production Data-Daily Input'!$B:$B,"Total "&amp;$A36,'Production Data-Daily Input'!$F:$F)</f>
        <v>0</v>
      </c>
      <c r="AE36" s="296" t="str">
        <f>IF(F36="","",IF(G36&lt;&gt;0,IF(AD36&lt;&gt;0,AD36/G36,'Production Data-Weekly input'!E33/100),""))</f>
        <v/>
      </c>
      <c r="AF36" s="275">
        <f t="shared" si="5"/>
        <v>0</v>
      </c>
      <c r="AG36" s="297" t="str">
        <f t="shared" si="7"/>
        <v/>
      </c>
      <c r="AH36" s="298" t="str">
        <f>IF(AND(SUMIF('Production Data-Daily Input'!$B:$B,"Total "&amp;A36,'Production Data-Daily Input'!$J:$J)=0,SUMIF('Production Data-Weekly input'!$A:$A,A36,'Production Data-Weekly input'!$I:$I)=0),"",IF(SUMIF('Production Data-Daily Input'!$B:$B,"Total "&amp;A36,'Production Data-Daily Input'!$J:$J)&lt;&gt;0,SUMIF('Production Data-Daily Input'!$B:$B,"Total "&amp;A36,'Production Data-Daily Input'!$J:$J),SUMIF('Production Data-Weekly input'!$A:$A,A36,'Production Data-Weekly input'!$I:$I)))</f>
        <v/>
      </c>
    </row>
    <row r="37" spans="1:34" s="299" customFormat="1" ht="24.95" customHeight="1" x14ac:dyDescent="0.25">
      <c r="A37" s="273">
        <f t="shared" si="2"/>
        <v>39</v>
      </c>
      <c r="B37" s="429" t="str">
        <f>'Production Data-Daily Input'!B182</f>
        <v/>
      </c>
      <c r="C37" s="274" t="str">
        <f>IF(IF(AND(SUMIF('Production Data-Daily Input'!$B:$B,"Total "&amp;$A37,'Production Data-Daily Input'!$C:$C)="",SUMIF('Production Data-Weekly input'!$A:$A,A37,'Production Data-Weekly input'!$B:$B)=""),"",IF(SUMIF('Production Data-Daily Input'!$B:$B,"Total "&amp;$A37,'Production Data-Daily Input'!$C:$C)&lt;&gt;0,SUMIF('Production Data-Daily Input'!$B:$B,"Total "&amp;$A37,'Production Data-Daily Input'!$C:$C),SUMIF('Production Data-Weekly input'!$A:$A,A37,'Production Data-Weekly input'!$B:$B)/100*Data!$F$37))=0,"",IF(AND(SUMIF('Production Data-Daily Input'!$B:$B,"Total "&amp;$A37,'Production Data-Daily Input'!$C:$C)="",SUMIF('Production Data-Weekly input'!$A:$A,A37,'Production Data-Weekly input'!$B:$B)=""),"",IF(SUMIF('Production Data-Daily Input'!$B:$B,"Total "&amp;$A37,'Production Data-Daily Input'!$C:$C)&lt;&gt;0,SUMIF('Production Data-Daily Input'!$B:$B,"Total "&amp;$A37,'Production Data-Daily Input'!$C:$C),SUMIF('Production Data-Weekly input'!$A:$A,A37,'Production Data-Weekly input'!$B:$B)/100*Data!$F$37)))</f>
        <v/>
      </c>
      <c r="D37" s="275" t="str">
        <f>IF(AND(SUM(C37:$C$88)=0,SUMIF('Production Data-Daily Input'!$B:$B,"Total "&amp;$A37,'Production Data-Daily Input'!$D:$D)=0,SUMIF('Production Data-Weekly input'!$A:$A,$A37,'Production Data-Weekly input'!$C:$C)=0),"",IF(C37="",D36,C37+D36))</f>
        <v/>
      </c>
      <c r="E37" s="276" t="str">
        <f>IF(F37="","",F37/Data!F$37)</f>
        <v/>
      </c>
      <c r="F37" s="277" t="str">
        <f>IF(D37="","",Data!$F$37-D37)</f>
        <v/>
      </c>
      <c r="G37" s="278" t="str">
        <f>IF(F37="","",IF(SUMIF('Production Data-Daily Input'!$B:$B,"Total "&amp;$A37,'Production Data-Daily Input'!$D:$D)&lt;&gt;0,SUMIF('Production Data-Daily Input'!$B:$B,"Total "&amp;$A37,'Production Data-Daily Input'!$D:$D),IF(SUMIF('Production Data-Weekly input'!$A:$A,$A37,'Production Data-Weekly input'!$C:$C)=0,0,SUMIF('Production Data-Weekly input'!$A:$A,$A37,'Production Data-Weekly input'!$C:$C)/100*7*$F37)))</f>
        <v/>
      </c>
      <c r="H37" s="279" t="str">
        <f>IF(AND(G37="",'Production Data-Weekly input'!C34=""),"",IF(G37="",'Production Data-Weekly input'!C34,G37/F37/7*100))</f>
        <v/>
      </c>
      <c r="I37" s="300" t="str">
        <f>Standard!D29</f>
        <v/>
      </c>
      <c r="J37" s="275">
        <f t="shared" si="6"/>
        <v>0</v>
      </c>
      <c r="K37" s="281" t="str">
        <f>IF(H37="","",J37/Data!F$37)</f>
        <v/>
      </c>
      <c r="L37" s="301" t="str">
        <f>Standard!F29</f>
        <v/>
      </c>
      <c r="M37" s="283" t="str">
        <f>IF(IF(SUMIF('Production Data-Daily Input'!$B:$B,"Total "&amp;$A37,'Production Data-Daily Input'!$G:$G)&lt;&gt;0,SUMIF('Production Data-Daily Input'!$B:$B,"Total "&amp;$A37,'Production Data-Daily Input'!$G:$G),IF(SUMIF('Production Data-Weekly input'!$A:$A,$A37,'Production Data-Weekly input'!$F:$F)="","",SUMIF('Production Data-Weekly input'!$A:$A,$A37,'Production Data-Weekly input'!$F:$F)))=0,"",IF(SUMIF('Production Data-Daily Input'!$B:$B,"Total "&amp;$A37,'Production Data-Daily Input'!$G:$G)&lt;&gt;0,SUMIF('Production Data-Daily Input'!$B:$B,"Total "&amp;$A37,'Production Data-Daily Input'!$G:$G),IF(SUMIF('Production Data-Weekly input'!$A:$A,$A37,'Production Data-Weekly input'!$F:$F)="","",SUMIF('Production Data-Weekly input'!$A:$A,$A37,'Production Data-Weekly input'!$F:$F))))</f>
        <v/>
      </c>
      <c r="N37" s="302" t="str">
        <f>Standard!G29</f>
        <v/>
      </c>
      <c r="O37" s="285" t="str">
        <f t="shared" si="0"/>
        <v/>
      </c>
      <c r="P37" s="303" t="str">
        <f>Standard!H29</f>
        <v/>
      </c>
      <c r="Q37" s="287" t="str">
        <f>IF(Q36="","",IF(AND(H37="",Q36=""),"",IF(O37="","",IF(M37="",IF(Q36="",0,Q36),(M37*H37/100*7*F37/Data!F$37)+IF(Q36="",0,Q36)))))</f>
        <v/>
      </c>
      <c r="R37" s="288" t="str">
        <f>Standard!I29</f>
        <v/>
      </c>
      <c r="S37" s="289" t="str">
        <f>IF(AND(F37="",Q37=""),"",IF(J37&lt;&gt;"",IF(Q37="","",Q37*Data!F$37/J37),""))</f>
        <v/>
      </c>
      <c r="T37" s="290" t="str">
        <f>Standard!J29</f>
        <v/>
      </c>
      <c r="U37" s="291" t="str">
        <f t="shared" si="1"/>
        <v/>
      </c>
      <c r="V37" s="292" t="str">
        <f>IF(F37="","",IF(SUMIF('Production Data-Weekly input'!$A:$A,A37,'Production Data-Weekly input'!$G:$G)&lt;&gt;0,SUMIF('Production Data-Weekly input'!$A:$A,A37,'Production Data-Weekly input'!$G:$G),(SUMIF('Production Data-Daily Input'!$B:$B,"Total "&amp;A37,'Production Data-Daily Input'!$H:$H)*1000/7/F37)))</f>
        <v/>
      </c>
      <c r="W37" s="293" t="str">
        <f t="shared" si="3"/>
        <v/>
      </c>
      <c r="X37" s="293" t="str">
        <f>IF(W37&lt;&gt;"",W37/Data!F$37*1000/((A37-16)*7),"")</f>
        <v/>
      </c>
      <c r="Y37" s="400" t="str">
        <f t="shared" si="4"/>
        <v/>
      </c>
      <c r="Z37" s="294" t="str">
        <f>IF(F37="","",IF(OR(Q37=0,Q37=""),"",IF(W37&lt;&gt;0,W37/(Q37*Data!F$37/1000),"")))</f>
        <v/>
      </c>
      <c r="AA37" s="295" t="str">
        <f>IF(AND(U37=0,SUMIF('Production Data-Weekly input'!$A:$A,$A37,'Production Data-Weekly input'!$H:$H)=0,SUMIF('Production Data-Daily Input'!$B:$B,"Total "&amp;A37,'Production Data-Daily Input'!$I:$I)=0),"",IF(F37="","",IF(SUMIF('Production Data-Weekly input'!$A:$A,$A37,'Production Data-Weekly input'!$H:$H)&lt;&gt;0,SUMIF('Production Data-Weekly input'!$A:$A,$A37,'Production Data-Weekly input'!$H:$H)*7/U37,SUMIF('Production Data-Daily Input'!$B:$B,"Total "&amp;A37,'Production Data-Daily Input'!$I:$I)*7/U37)))</f>
        <v/>
      </c>
      <c r="AB37" s="278">
        <f>SUMIF('Production Data-Daily Input'!$B:$B,"Total "&amp;$A37,'Production Data-Daily Input'!$E:$E)</f>
        <v>0</v>
      </c>
      <c r="AC37" s="296" t="str">
        <f>IF(F37="","",IF(G37&lt;&gt;0,IF(AB37&lt;&gt;0,AB37/G37,'Production Data-Weekly input'!D34/100),""))</f>
        <v/>
      </c>
      <c r="AD37" s="275">
        <f>SUMIF('Production Data-Daily Input'!$B:$B,"Total "&amp;$A37,'Production Data-Daily Input'!$F:$F)</f>
        <v>0</v>
      </c>
      <c r="AE37" s="296" t="str">
        <f>IF(F37="","",IF(G37&lt;&gt;0,IF(AD37&lt;&gt;0,AD37/G37,'Production Data-Weekly input'!E34/100),""))</f>
        <v/>
      </c>
      <c r="AF37" s="275">
        <f t="shared" si="5"/>
        <v>0</v>
      </c>
      <c r="AG37" s="297" t="str">
        <f t="shared" si="7"/>
        <v/>
      </c>
      <c r="AH37" s="298" t="str">
        <f>IF(AND(SUMIF('Production Data-Daily Input'!$B:$B,"Total "&amp;A37,'Production Data-Daily Input'!$J:$J)=0,SUMIF('Production Data-Weekly input'!$A:$A,A37,'Production Data-Weekly input'!$I:$I)=0),"",IF(SUMIF('Production Data-Daily Input'!$B:$B,"Total "&amp;A37,'Production Data-Daily Input'!$J:$J)&lt;&gt;0,SUMIF('Production Data-Daily Input'!$B:$B,"Total "&amp;A37,'Production Data-Daily Input'!$J:$J),SUMIF('Production Data-Weekly input'!$A:$A,A37,'Production Data-Weekly input'!$I:$I)))</f>
        <v/>
      </c>
    </row>
    <row r="38" spans="1:34" s="299" customFormat="1" ht="24.95" customHeight="1" x14ac:dyDescent="0.25">
      <c r="A38" s="273">
        <f t="shared" si="2"/>
        <v>40</v>
      </c>
      <c r="B38" s="429" t="str">
        <f>'Production Data-Daily Input'!B190</f>
        <v/>
      </c>
      <c r="C38" s="274" t="str">
        <f>IF(IF(AND(SUMIF('Production Data-Daily Input'!$B:$B,"Total "&amp;$A38,'Production Data-Daily Input'!$C:$C)="",SUMIF('Production Data-Weekly input'!$A:$A,A38,'Production Data-Weekly input'!$B:$B)=""),"",IF(SUMIF('Production Data-Daily Input'!$B:$B,"Total "&amp;$A38,'Production Data-Daily Input'!$C:$C)&lt;&gt;0,SUMIF('Production Data-Daily Input'!$B:$B,"Total "&amp;$A38,'Production Data-Daily Input'!$C:$C),SUMIF('Production Data-Weekly input'!$A:$A,A38,'Production Data-Weekly input'!$B:$B)/100*Data!$F$37))=0,"",IF(AND(SUMIF('Production Data-Daily Input'!$B:$B,"Total "&amp;$A38,'Production Data-Daily Input'!$C:$C)="",SUMIF('Production Data-Weekly input'!$A:$A,A38,'Production Data-Weekly input'!$B:$B)=""),"",IF(SUMIF('Production Data-Daily Input'!$B:$B,"Total "&amp;$A38,'Production Data-Daily Input'!$C:$C)&lt;&gt;0,SUMIF('Production Data-Daily Input'!$B:$B,"Total "&amp;$A38,'Production Data-Daily Input'!$C:$C),SUMIF('Production Data-Weekly input'!$A:$A,A38,'Production Data-Weekly input'!$B:$B)/100*Data!$F$37)))</f>
        <v/>
      </c>
      <c r="D38" s="275" t="str">
        <f>IF(AND(SUM(C38:$C$88)=0,SUMIF('Production Data-Daily Input'!$B:$B,"Total "&amp;$A38,'Production Data-Daily Input'!$D:$D)=0,SUMIF('Production Data-Weekly input'!$A:$A,$A38,'Production Data-Weekly input'!$C:$C)=0),"",IF(C38="",D37,C38+D37))</f>
        <v/>
      </c>
      <c r="E38" s="276" t="str">
        <f>IF(F38="","",F38/Data!F$37)</f>
        <v/>
      </c>
      <c r="F38" s="277" t="str">
        <f>IF(D38="","",Data!$F$37-D38)</f>
        <v/>
      </c>
      <c r="G38" s="278" t="str">
        <f>IF(F38="","",IF(SUMIF('Production Data-Daily Input'!$B:$B,"Total "&amp;$A38,'Production Data-Daily Input'!$D:$D)&lt;&gt;0,SUMIF('Production Data-Daily Input'!$B:$B,"Total "&amp;$A38,'Production Data-Daily Input'!$D:$D),IF(SUMIF('Production Data-Weekly input'!$A:$A,$A38,'Production Data-Weekly input'!$C:$C)=0,0,SUMIF('Production Data-Weekly input'!$A:$A,$A38,'Production Data-Weekly input'!$C:$C)/100*7*$F38)))</f>
        <v/>
      </c>
      <c r="H38" s="279" t="str">
        <f>IF(AND(G38="",'Production Data-Weekly input'!C35=""),"",IF(G38="",'Production Data-Weekly input'!C35,G38/F38/7*100))</f>
        <v/>
      </c>
      <c r="I38" s="300" t="str">
        <f>Standard!D30</f>
        <v/>
      </c>
      <c r="J38" s="275">
        <f t="shared" si="6"/>
        <v>0</v>
      </c>
      <c r="K38" s="281" t="str">
        <f>IF(H38="","",J38/Data!F$37)</f>
        <v/>
      </c>
      <c r="L38" s="301" t="str">
        <f>Standard!F30</f>
        <v/>
      </c>
      <c r="M38" s="283" t="str">
        <f>IF(IF(SUMIF('Production Data-Daily Input'!$B:$B,"Total "&amp;$A38,'Production Data-Daily Input'!$G:$G)&lt;&gt;0,SUMIF('Production Data-Daily Input'!$B:$B,"Total "&amp;$A38,'Production Data-Daily Input'!$G:$G),IF(SUMIF('Production Data-Weekly input'!$A:$A,$A38,'Production Data-Weekly input'!$F:$F)="","",SUMIF('Production Data-Weekly input'!$A:$A,$A38,'Production Data-Weekly input'!$F:$F)))=0,"",IF(SUMIF('Production Data-Daily Input'!$B:$B,"Total "&amp;$A38,'Production Data-Daily Input'!$G:$G)&lt;&gt;0,SUMIF('Production Data-Daily Input'!$B:$B,"Total "&amp;$A38,'Production Data-Daily Input'!$G:$G),IF(SUMIF('Production Data-Weekly input'!$A:$A,$A38,'Production Data-Weekly input'!$F:$F)="","",SUMIF('Production Data-Weekly input'!$A:$A,$A38,'Production Data-Weekly input'!$F:$F))))</f>
        <v/>
      </c>
      <c r="N38" s="302" t="str">
        <f>Standard!G30</f>
        <v/>
      </c>
      <c r="O38" s="285" t="str">
        <f t="shared" si="0"/>
        <v/>
      </c>
      <c r="P38" s="303" t="str">
        <f>Standard!H30</f>
        <v/>
      </c>
      <c r="Q38" s="287" t="str">
        <f>IF(Q37="","",IF(AND(H38="",Q37=""),"",IF(O38="","",IF(M38="",IF(Q37="",0,Q37),(M38*H38/100*7*F38/Data!F$37)+IF(Q37="",0,Q37)))))</f>
        <v/>
      </c>
      <c r="R38" s="288" t="str">
        <f>Standard!I30</f>
        <v/>
      </c>
      <c r="S38" s="289" t="str">
        <f>IF(AND(F38="",Q38=""),"",IF(J38&lt;&gt;"",IF(Q38="","",Q38*Data!F$37/J38),""))</f>
        <v/>
      </c>
      <c r="T38" s="290" t="str">
        <f>Standard!J30</f>
        <v/>
      </c>
      <c r="U38" s="291" t="str">
        <f t="shared" si="1"/>
        <v/>
      </c>
      <c r="V38" s="292" t="str">
        <f>IF(F38="","",IF(SUMIF('Production Data-Weekly input'!$A:$A,A38,'Production Data-Weekly input'!$G:$G)&lt;&gt;0,SUMIF('Production Data-Weekly input'!$A:$A,A38,'Production Data-Weekly input'!$G:$G),(SUMIF('Production Data-Daily Input'!$B:$B,"Total "&amp;A38,'Production Data-Daily Input'!$H:$H)*1000/7/F38)))</f>
        <v/>
      </c>
      <c r="W38" s="293" t="str">
        <f t="shared" si="3"/>
        <v/>
      </c>
      <c r="X38" s="293" t="str">
        <f>IF(W38&lt;&gt;"",W38/Data!F$37*1000/((A38-16)*7),"")</f>
        <v/>
      </c>
      <c r="Y38" s="400" t="str">
        <f t="shared" si="4"/>
        <v/>
      </c>
      <c r="Z38" s="294" t="str">
        <f>IF(F38="","",IF(OR(Q38=0,Q38=""),"",IF(W38&lt;&gt;0,W38/(Q38*Data!F$37/1000),"")))</f>
        <v/>
      </c>
      <c r="AA38" s="295" t="str">
        <f>IF(AND(U38=0,SUMIF('Production Data-Weekly input'!$A:$A,$A38,'Production Data-Weekly input'!$H:$H)=0,SUMIF('Production Data-Daily Input'!$B:$B,"Total "&amp;A38,'Production Data-Daily Input'!$I:$I)=0),"",IF(F38="","",IF(SUMIF('Production Data-Weekly input'!$A:$A,$A38,'Production Data-Weekly input'!$H:$H)&lt;&gt;0,SUMIF('Production Data-Weekly input'!$A:$A,$A38,'Production Data-Weekly input'!$H:$H)*7/U38,SUMIF('Production Data-Daily Input'!$B:$B,"Total "&amp;A38,'Production Data-Daily Input'!$I:$I)*7/U38)))</f>
        <v/>
      </c>
      <c r="AB38" s="278">
        <f>SUMIF('Production Data-Daily Input'!$B:$B,"Total "&amp;$A38,'Production Data-Daily Input'!$E:$E)</f>
        <v>0</v>
      </c>
      <c r="AC38" s="296" t="str">
        <f>IF(F38="","",IF(G38&lt;&gt;0,IF(AB38&lt;&gt;0,AB38/G38,'Production Data-Weekly input'!D35/100),""))</f>
        <v/>
      </c>
      <c r="AD38" s="275">
        <f>SUMIF('Production Data-Daily Input'!$B:$B,"Total "&amp;$A38,'Production Data-Daily Input'!$F:$F)</f>
        <v>0</v>
      </c>
      <c r="AE38" s="296" t="str">
        <f>IF(F38="","",IF(G38&lt;&gt;0,IF(AD38&lt;&gt;0,AD38/G38,'Production Data-Weekly input'!E35/100),""))</f>
        <v/>
      </c>
      <c r="AF38" s="275">
        <f t="shared" si="5"/>
        <v>0</v>
      </c>
      <c r="AG38" s="297" t="str">
        <f t="shared" si="7"/>
        <v/>
      </c>
      <c r="AH38" s="298" t="str">
        <f>IF(AND(SUMIF('Production Data-Daily Input'!$B:$B,"Total "&amp;A38,'Production Data-Daily Input'!$J:$J)=0,SUMIF('Production Data-Weekly input'!$A:$A,A38,'Production Data-Weekly input'!$I:$I)=0),"",IF(SUMIF('Production Data-Daily Input'!$B:$B,"Total "&amp;A38,'Production Data-Daily Input'!$J:$J)&lt;&gt;0,SUMIF('Production Data-Daily Input'!$B:$B,"Total "&amp;A38,'Production Data-Daily Input'!$J:$J),SUMIF('Production Data-Weekly input'!$A:$A,A38,'Production Data-Weekly input'!$I:$I)))</f>
        <v/>
      </c>
    </row>
    <row r="39" spans="1:34" s="299" customFormat="1" ht="24.95" customHeight="1" x14ac:dyDescent="0.25">
      <c r="A39" s="273">
        <f t="shared" si="2"/>
        <v>41</v>
      </c>
      <c r="B39" s="429" t="str">
        <f>'Production Data-Daily Input'!B198</f>
        <v/>
      </c>
      <c r="C39" s="274" t="str">
        <f>IF(IF(AND(SUMIF('Production Data-Daily Input'!$B:$B,"Total "&amp;$A39,'Production Data-Daily Input'!$C:$C)="",SUMIF('Production Data-Weekly input'!$A:$A,A39,'Production Data-Weekly input'!$B:$B)=""),"",IF(SUMIF('Production Data-Daily Input'!$B:$B,"Total "&amp;$A39,'Production Data-Daily Input'!$C:$C)&lt;&gt;0,SUMIF('Production Data-Daily Input'!$B:$B,"Total "&amp;$A39,'Production Data-Daily Input'!$C:$C),SUMIF('Production Data-Weekly input'!$A:$A,A39,'Production Data-Weekly input'!$B:$B)/100*Data!$F$37))=0,"",IF(AND(SUMIF('Production Data-Daily Input'!$B:$B,"Total "&amp;$A39,'Production Data-Daily Input'!$C:$C)="",SUMIF('Production Data-Weekly input'!$A:$A,A39,'Production Data-Weekly input'!$B:$B)=""),"",IF(SUMIF('Production Data-Daily Input'!$B:$B,"Total "&amp;$A39,'Production Data-Daily Input'!$C:$C)&lt;&gt;0,SUMIF('Production Data-Daily Input'!$B:$B,"Total "&amp;$A39,'Production Data-Daily Input'!$C:$C),SUMIF('Production Data-Weekly input'!$A:$A,A39,'Production Data-Weekly input'!$B:$B)/100*Data!$F$37)))</f>
        <v/>
      </c>
      <c r="D39" s="275" t="str">
        <f>IF(AND(SUM(C39:$C$88)=0,SUMIF('Production Data-Daily Input'!$B:$B,"Total "&amp;$A39,'Production Data-Daily Input'!$D:$D)=0,SUMIF('Production Data-Weekly input'!$A:$A,$A39,'Production Data-Weekly input'!$C:$C)=0),"",IF(C39="",D38,C39+D38))</f>
        <v/>
      </c>
      <c r="E39" s="276" t="str">
        <f>IF(F39="","",F39/Data!F$37)</f>
        <v/>
      </c>
      <c r="F39" s="277" t="str">
        <f>IF(D39="","",Data!$F$37-D39)</f>
        <v/>
      </c>
      <c r="G39" s="278" t="str">
        <f>IF(F39="","",IF(SUMIF('Production Data-Daily Input'!$B:$B,"Total "&amp;$A39,'Production Data-Daily Input'!$D:$D)&lt;&gt;0,SUMIF('Production Data-Daily Input'!$B:$B,"Total "&amp;$A39,'Production Data-Daily Input'!$D:$D),IF(SUMIF('Production Data-Weekly input'!$A:$A,$A39,'Production Data-Weekly input'!$C:$C)=0,0,SUMIF('Production Data-Weekly input'!$A:$A,$A39,'Production Data-Weekly input'!$C:$C)/100*7*$F39)))</f>
        <v/>
      </c>
      <c r="H39" s="279" t="str">
        <f>IF(AND(G39="",'Production Data-Weekly input'!C36=""),"",IF(G39="",'Production Data-Weekly input'!C36,G39/F39/7*100))</f>
        <v/>
      </c>
      <c r="I39" s="300" t="str">
        <f>Standard!D31</f>
        <v/>
      </c>
      <c r="J39" s="275">
        <f t="shared" si="6"/>
        <v>0</v>
      </c>
      <c r="K39" s="281" t="str">
        <f>IF(H39="","",J39/Data!F$37)</f>
        <v/>
      </c>
      <c r="L39" s="301" t="str">
        <f>Standard!F31</f>
        <v/>
      </c>
      <c r="M39" s="283" t="str">
        <f>IF(IF(SUMIF('Production Data-Daily Input'!$B:$B,"Total "&amp;$A39,'Production Data-Daily Input'!$G:$G)&lt;&gt;0,SUMIF('Production Data-Daily Input'!$B:$B,"Total "&amp;$A39,'Production Data-Daily Input'!$G:$G),IF(SUMIF('Production Data-Weekly input'!$A:$A,$A39,'Production Data-Weekly input'!$F:$F)="","",SUMIF('Production Data-Weekly input'!$A:$A,$A39,'Production Data-Weekly input'!$F:$F)))=0,"",IF(SUMIF('Production Data-Daily Input'!$B:$B,"Total "&amp;$A39,'Production Data-Daily Input'!$G:$G)&lt;&gt;0,SUMIF('Production Data-Daily Input'!$B:$B,"Total "&amp;$A39,'Production Data-Daily Input'!$G:$G),IF(SUMIF('Production Data-Weekly input'!$A:$A,$A39,'Production Data-Weekly input'!$F:$F)="","",SUMIF('Production Data-Weekly input'!$A:$A,$A39,'Production Data-Weekly input'!$F:$F))))</f>
        <v/>
      </c>
      <c r="N39" s="302" t="str">
        <f>Standard!G31</f>
        <v/>
      </c>
      <c r="O39" s="285" t="str">
        <f t="shared" si="0"/>
        <v/>
      </c>
      <c r="P39" s="303" t="str">
        <f>Standard!H31</f>
        <v/>
      </c>
      <c r="Q39" s="287" t="str">
        <f>IF(Q38="","",IF(AND(H39="",Q38=""),"",IF(O39="","",IF(M39="",IF(Q38="",0,Q38),(M39*H39/100*7*F39/Data!F$37)+IF(Q38="",0,Q38)))))</f>
        <v/>
      </c>
      <c r="R39" s="288" t="str">
        <f>Standard!I31</f>
        <v/>
      </c>
      <c r="S39" s="289" t="str">
        <f>IF(AND(F39="",Q39=""),"",IF(J39&lt;&gt;"",IF(Q39="","",Q39*Data!F$37/J39),""))</f>
        <v/>
      </c>
      <c r="T39" s="290" t="str">
        <f>Standard!J31</f>
        <v/>
      </c>
      <c r="U39" s="291" t="str">
        <f t="shared" si="1"/>
        <v/>
      </c>
      <c r="V39" s="292" t="str">
        <f>IF(F39="","",IF(SUMIF('Production Data-Weekly input'!$A:$A,A39,'Production Data-Weekly input'!$G:$G)&lt;&gt;0,SUMIF('Production Data-Weekly input'!$A:$A,A39,'Production Data-Weekly input'!$G:$G),(SUMIF('Production Data-Daily Input'!$B:$B,"Total "&amp;A39,'Production Data-Daily Input'!$H:$H)*1000/7/F39)))</f>
        <v/>
      </c>
      <c r="W39" s="293" t="str">
        <f t="shared" si="3"/>
        <v/>
      </c>
      <c r="X39" s="293" t="str">
        <f>IF(W39&lt;&gt;"",W39/Data!F$37*1000/((A39-16)*7),"")</f>
        <v/>
      </c>
      <c r="Y39" s="400" t="str">
        <f t="shared" si="4"/>
        <v/>
      </c>
      <c r="Z39" s="294" t="str">
        <f>IF(F39="","",IF(OR(Q39=0,Q39=""),"",IF(W39&lt;&gt;0,W39/(Q39*Data!F$37/1000),"")))</f>
        <v/>
      </c>
      <c r="AA39" s="295" t="str">
        <f>IF(AND(U39=0,SUMIF('Production Data-Weekly input'!$A:$A,$A39,'Production Data-Weekly input'!$H:$H)=0,SUMIF('Production Data-Daily Input'!$B:$B,"Total "&amp;A39,'Production Data-Daily Input'!$I:$I)=0),"",IF(F39="","",IF(SUMIF('Production Data-Weekly input'!$A:$A,$A39,'Production Data-Weekly input'!$H:$H)&lt;&gt;0,SUMIF('Production Data-Weekly input'!$A:$A,$A39,'Production Data-Weekly input'!$H:$H)*7/U39,SUMIF('Production Data-Daily Input'!$B:$B,"Total "&amp;A39,'Production Data-Daily Input'!$I:$I)*7/U39)))</f>
        <v/>
      </c>
      <c r="AB39" s="278">
        <f>SUMIF('Production Data-Daily Input'!$B:$B,"Total "&amp;$A39,'Production Data-Daily Input'!$E:$E)</f>
        <v>0</v>
      </c>
      <c r="AC39" s="296" t="str">
        <f>IF(F39="","",IF(G39&lt;&gt;0,IF(AB39&lt;&gt;0,AB39/G39,'Production Data-Weekly input'!D36/100),""))</f>
        <v/>
      </c>
      <c r="AD39" s="275">
        <f>SUMIF('Production Data-Daily Input'!$B:$B,"Total "&amp;$A39,'Production Data-Daily Input'!$F:$F)</f>
        <v>0</v>
      </c>
      <c r="AE39" s="296" t="str">
        <f>IF(F39="","",IF(G39&lt;&gt;0,IF(AD39&lt;&gt;0,AD39/G39,'Production Data-Weekly input'!E36/100),""))</f>
        <v/>
      </c>
      <c r="AF39" s="275">
        <f t="shared" si="5"/>
        <v>0</v>
      </c>
      <c r="AG39" s="297" t="str">
        <f t="shared" si="7"/>
        <v/>
      </c>
      <c r="AH39" s="298" t="str">
        <f>IF(AND(SUMIF('Production Data-Daily Input'!$B:$B,"Total "&amp;A39,'Production Data-Daily Input'!$J:$J)=0,SUMIF('Production Data-Weekly input'!$A:$A,A39,'Production Data-Weekly input'!$I:$I)=0),"",IF(SUMIF('Production Data-Daily Input'!$B:$B,"Total "&amp;A39,'Production Data-Daily Input'!$J:$J)&lt;&gt;0,SUMIF('Production Data-Daily Input'!$B:$B,"Total "&amp;A39,'Production Data-Daily Input'!$J:$J),SUMIF('Production Data-Weekly input'!$A:$A,A39,'Production Data-Weekly input'!$I:$I)))</f>
        <v/>
      </c>
    </row>
    <row r="40" spans="1:34" s="299" customFormat="1" ht="24.95" customHeight="1" x14ac:dyDescent="0.25">
      <c r="A40" s="273">
        <f t="shared" si="2"/>
        <v>42</v>
      </c>
      <c r="B40" s="429" t="str">
        <f>'Production Data-Daily Input'!B206</f>
        <v/>
      </c>
      <c r="C40" s="274" t="str">
        <f>IF(IF(AND(SUMIF('Production Data-Daily Input'!$B:$B,"Total "&amp;$A40,'Production Data-Daily Input'!$C:$C)="",SUMIF('Production Data-Weekly input'!$A:$A,A40,'Production Data-Weekly input'!$B:$B)=""),"",IF(SUMIF('Production Data-Daily Input'!$B:$B,"Total "&amp;$A40,'Production Data-Daily Input'!$C:$C)&lt;&gt;0,SUMIF('Production Data-Daily Input'!$B:$B,"Total "&amp;$A40,'Production Data-Daily Input'!$C:$C),SUMIF('Production Data-Weekly input'!$A:$A,A40,'Production Data-Weekly input'!$B:$B)/100*Data!$F$37))=0,"",IF(AND(SUMIF('Production Data-Daily Input'!$B:$B,"Total "&amp;$A40,'Production Data-Daily Input'!$C:$C)="",SUMIF('Production Data-Weekly input'!$A:$A,A40,'Production Data-Weekly input'!$B:$B)=""),"",IF(SUMIF('Production Data-Daily Input'!$B:$B,"Total "&amp;$A40,'Production Data-Daily Input'!$C:$C)&lt;&gt;0,SUMIF('Production Data-Daily Input'!$B:$B,"Total "&amp;$A40,'Production Data-Daily Input'!$C:$C),SUMIF('Production Data-Weekly input'!$A:$A,A40,'Production Data-Weekly input'!$B:$B)/100*Data!$F$37)))</f>
        <v/>
      </c>
      <c r="D40" s="275" t="str">
        <f>IF(AND(SUM(C40:$C$88)=0,SUMIF('Production Data-Daily Input'!$B:$B,"Total "&amp;$A40,'Production Data-Daily Input'!$D:$D)=0,SUMIF('Production Data-Weekly input'!$A:$A,$A40,'Production Data-Weekly input'!$C:$C)=0),"",IF(C40="",D39,C40+D39))</f>
        <v/>
      </c>
      <c r="E40" s="276" t="str">
        <f>IF(F40="","",F40/Data!F$37)</f>
        <v/>
      </c>
      <c r="F40" s="277" t="str">
        <f>IF(D40="","",Data!$F$37-D40)</f>
        <v/>
      </c>
      <c r="G40" s="278" t="str">
        <f>IF(F40="","",IF(SUMIF('Production Data-Daily Input'!$B:$B,"Total "&amp;$A40,'Production Data-Daily Input'!$D:$D)&lt;&gt;0,SUMIF('Production Data-Daily Input'!$B:$B,"Total "&amp;$A40,'Production Data-Daily Input'!$D:$D),IF(SUMIF('Production Data-Weekly input'!$A:$A,$A40,'Production Data-Weekly input'!$C:$C)=0,0,SUMIF('Production Data-Weekly input'!$A:$A,$A40,'Production Data-Weekly input'!$C:$C)/100*7*$F40)))</f>
        <v/>
      </c>
      <c r="H40" s="279" t="str">
        <f>IF(AND(G40="",'Production Data-Weekly input'!C37=""),"",IF(G40="",'Production Data-Weekly input'!C37,G40/F40/7*100))</f>
        <v/>
      </c>
      <c r="I40" s="300" t="str">
        <f>Standard!D32</f>
        <v/>
      </c>
      <c r="J40" s="275">
        <f t="shared" si="6"/>
        <v>0</v>
      </c>
      <c r="K40" s="281" t="str">
        <f>IF(H40="","",J40/Data!F$37)</f>
        <v/>
      </c>
      <c r="L40" s="301" t="str">
        <f>Standard!F32</f>
        <v/>
      </c>
      <c r="M40" s="283" t="str">
        <f>IF(IF(SUMIF('Production Data-Daily Input'!$B:$B,"Total "&amp;$A40,'Production Data-Daily Input'!$G:$G)&lt;&gt;0,SUMIF('Production Data-Daily Input'!$B:$B,"Total "&amp;$A40,'Production Data-Daily Input'!$G:$G),IF(SUMIF('Production Data-Weekly input'!$A:$A,$A40,'Production Data-Weekly input'!$F:$F)="","",SUMIF('Production Data-Weekly input'!$A:$A,$A40,'Production Data-Weekly input'!$F:$F)))=0,"",IF(SUMIF('Production Data-Daily Input'!$B:$B,"Total "&amp;$A40,'Production Data-Daily Input'!$G:$G)&lt;&gt;0,SUMIF('Production Data-Daily Input'!$B:$B,"Total "&amp;$A40,'Production Data-Daily Input'!$G:$G),IF(SUMIF('Production Data-Weekly input'!$A:$A,$A40,'Production Data-Weekly input'!$F:$F)="","",SUMIF('Production Data-Weekly input'!$A:$A,$A40,'Production Data-Weekly input'!$F:$F))))</f>
        <v/>
      </c>
      <c r="N40" s="302" t="str">
        <f>Standard!G32</f>
        <v/>
      </c>
      <c r="O40" s="285" t="str">
        <f t="shared" si="0"/>
        <v/>
      </c>
      <c r="P40" s="303" t="str">
        <f>Standard!H32</f>
        <v/>
      </c>
      <c r="Q40" s="287" t="str">
        <f>IF(Q39="","",IF(AND(H40="",Q39=""),"",IF(O40="","",IF(M40="",IF(Q39="",0,Q39),(M40*H40/100*7*F40/Data!F$37)+IF(Q39="",0,Q39)))))</f>
        <v/>
      </c>
      <c r="R40" s="288" t="str">
        <f>Standard!I32</f>
        <v/>
      </c>
      <c r="S40" s="289" t="str">
        <f>IF(AND(F40="",Q40=""),"",IF(J40&lt;&gt;"",IF(Q40="","",Q40*Data!F$37/J40),""))</f>
        <v/>
      </c>
      <c r="T40" s="290" t="str">
        <f>Standard!J32</f>
        <v/>
      </c>
      <c r="U40" s="291" t="str">
        <f t="shared" si="1"/>
        <v/>
      </c>
      <c r="V40" s="292" t="str">
        <f>IF(F40="","",IF(SUMIF('Production Data-Weekly input'!$A:$A,A40,'Production Data-Weekly input'!$G:$G)&lt;&gt;0,SUMIF('Production Data-Weekly input'!$A:$A,A40,'Production Data-Weekly input'!$G:$G),(SUMIF('Production Data-Daily Input'!$B:$B,"Total "&amp;A40,'Production Data-Daily Input'!$H:$H)*1000/7/F40)))</f>
        <v/>
      </c>
      <c r="W40" s="293" t="str">
        <f t="shared" si="3"/>
        <v/>
      </c>
      <c r="X40" s="293" t="str">
        <f>IF(W40&lt;&gt;"",W40/Data!F$37*1000/((A40-16)*7),"")</f>
        <v/>
      </c>
      <c r="Y40" s="400" t="str">
        <f t="shared" si="4"/>
        <v/>
      </c>
      <c r="Z40" s="294" t="str">
        <f>IF(F40="","",IF(OR(Q40=0,Q40=""),"",IF(W40&lt;&gt;0,W40/(Q40*Data!F$37/1000),"")))</f>
        <v/>
      </c>
      <c r="AA40" s="295" t="str">
        <f>IF(AND(U40=0,SUMIF('Production Data-Weekly input'!$A:$A,$A40,'Production Data-Weekly input'!$H:$H)=0,SUMIF('Production Data-Daily Input'!$B:$B,"Total "&amp;A40,'Production Data-Daily Input'!$I:$I)=0),"",IF(F40="","",IF(SUMIF('Production Data-Weekly input'!$A:$A,$A40,'Production Data-Weekly input'!$H:$H)&lt;&gt;0,SUMIF('Production Data-Weekly input'!$A:$A,$A40,'Production Data-Weekly input'!$H:$H)*7/U40,SUMIF('Production Data-Daily Input'!$B:$B,"Total "&amp;A40,'Production Data-Daily Input'!$I:$I)*7/U40)))</f>
        <v/>
      </c>
      <c r="AB40" s="278">
        <f>SUMIF('Production Data-Daily Input'!$B:$B,"Total "&amp;$A40,'Production Data-Daily Input'!$E:$E)</f>
        <v>0</v>
      </c>
      <c r="AC40" s="296" t="str">
        <f>IF(F40="","",IF(G40&lt;&gt;0,IF(AB40&lt;&gt;0,AB40/G40,'Production Data-Weekly input'!D37/100),""))</f>
        <v/>
      </c>
      <c r="AD40" s="275">
        <f>SUMIF('Production Data-Daily Input'!$B:$B,"Total "&amp;$A40,'Production Data-Daily Input'!$F:$F)</f>
        <v>0</v>
      </c>
      <c r="AE40" s="296" t="str">
        <f>IF(F40="","",IF(G40&lt;&gt;0,IF(AD40&lt;&gt;0,AD40/G40,'Production Data-Weekly input'!E37/100),""))</f>
        <v/>
      </c>
      <c r="AF40" s="275">
        <f t="shared" si="5"/>
        <v>0</v>
      </c>
      <c r="AG40" s="297" t="str">
        <f t="shared" si="7"/>
        <v/>
      </c>
      <c r="AH40" s="298" t="str">
        <f>IF(AND(SUMIF('Production Data-Daily Input'!$B:$B,"Total "&amp;A40,'Production Data-Daily Input'!$J:$J)=0,SUMIF('Production Data-Weekly input'!$A:$A,A40,'Production Data-Weekly input'!$I:$I)=0),"",IF(SUMIF('Production Data-Daily Input'!$B:$B,"Total "&amp;A40,'Production Data-Daily Input'!$J:$J)&lt;&gt;0,SUMIF('Production Data-Daily Input'!$B:$B,"Total "&amp;A40,'Production Data-Daily Input'!$J:$J),SUMIF('Production Data-Weekly input'!$A:$A,A40,'Production Data-Weekly input'!$I:$I)))</f>
        <v/>
      </c>
    </row>
    <row r="41" spans="1:34" s="299" customFormat="1" ht="24.95" customHeight="1" x14ac:dyDescent="0.25">
      <c r="A41" s="273">
        <f t="shared" si="2"/>
        <v>43</v>
      </c>
      <c r="B41" s="429" t="str">
        <f>'Production Data-Daily Input'!B214</f>
        <v/>
      </c>
      <c r="C41" s="274" t="str">
        <f>IF(IF(AND(SUMIF('Production Data-Daily Input'!$B:$B,"Total "&amp;$A41,'Production Data-Daily Input'!$C:$C)="",SUMIF('Production Data-Weekly input'!$A:$A,A41,'Production Data-Weekly input'!$B:$B)=""),"",IF(SUMIF('Production Data-Daily Input'!$B:$B,"Total "&amp;$A41,'Production Data-Daily Input'!$C:$C)&lt;&gt;0,SUMIF('Production Data-Daily Input'!$B:$B,"Total "&amp;$A41,'Production Data-Daily Input'!$C:$C),SUMIF('Production Data-Weekly input'!$A:$A,A41,'Production Data-Weekly input'!$B:$B)/100*Data!$F$37))=0,"",IF(AND(SUMIF('Production Data-Daily Input'!$B:$B,"Total "&amp;$A41,'Production Data-Daily Input'!$C:$C)="",SUMIF('Production Data-Weekly input'!$A:$A,A41,'Production Data-Weekly input'!$B:$B)=""),"",IF(SUMIF('Production Data-Daily Input'!$B:$B,"Total "&amp;$A41,'Production Data-Daily Input'!$C:$C)&lt;&gt;0,SUMIF('Production Data-Daily Input'!$B:$B,"Total "&amp;$A41,'Production Data-Daily Input'!$C:$C),SUMIF('Production Data-Weekly input'!$A:$A,A41,'Production Data-Weekly input'!$B:$B)/100*Data!$F$37)))</f>
        <v/>
      </c>
      <c r="D41" s="275" t="str">
        <f>IF(AND(SUM(C41:$C$88)=0,SUMIF('Production Data-Daily Input'!$B:$B,"Total "&amp;$A41,'Production Data-Daily Input'!$D:$D)=0,SUMIF('Production Data-Weekly input'!$A:$A,$A41,'Production Data-Weekly input'!$C:$C)=0),"",IF(C41="",D40,C41+D40))</f>
        <v/>
      </c>
      <c r="E41" s="276" t="str">
        <f>IF(F41="","",F41/Data!F$37)</f>
        <v/>
      </c>
      <c r="F41" s="277" t="str">
        <f>IF(D41="","",Data!$F$37-D41)</f>
        <v/>
      </c>
      <c r="G41" s="278" t="str">
        <f>IF(F41="","",IF(SUMIF('Production Data-Daily Input'!$B:$B,"Total "&amp;$A41,'Production Data-Daily Input'!$D:$D)&lt;&gt;0,SUMIF('Production Data-Daily Input'!$B:$B,"Total "&amp;$A41,'Production Data-Daily Input'!$D:$D),IF(SUMIF('Production Data-Weekly input'!$A:$A,$A41,'Production Data-Weekly input'!$C:$C)=0,0,SUMIF('Production Data-Weekly input'!$A:$A,$A41,'Production Data-Weekly input'!$C:$C)/100*7*$F41)))</f>
        <v/>
      </c>
      <c r="H41" s="279" t="str">
        <f>IF(AND(G41="",'Production Data-Weekly input'!C38=""),"",IF(G41="",'Production Data-Weekly input'!C38,G41/F41/7*100))</f>
        <v/>
      </c>
      <c r="I41" s="300" t="str">
        <f>Standard!D33</f>
        <v/>
      </c>
      <c r="J41" s="275">
        <f t="shared" si="6"/>
        <v>0</v>
      </c>
      <c r="K41" s="281" t="str">
        <f>IF(H41="","",J41/Data!F$37)</f>
        <v/>
      </c>
      <c r="L41" s="301" t="str">
        <f>Standard!F33</f>
        <v/>
      </c>
      <c r="M41" s="283" t="str">
        <f>IF(IF(SUMIF('Production Data-Daily Input'!$B:$B,"Total "&amp;$A41,'Production Data-Daily Input'!$G:$G)&lt;&gt;0,SUMIF('Production Data-Daily Input'!$B:$B,"Total "&amp;$A41,'Production Data-Daily Input'!$G:$G),IF(SUMIF('Production Data-Weekly input'!$A:$A,$A41,'Production Data-Weekly input'!$F:$F)="","",SUMIF('Production Data-Weekly input'!$A:$A,$A41,'Production Data-Weekly input'!$F:$F)))=0,"",IF(SUMIF('Production Data-Daily Input'!$B:$B,"Total "&amp;$A41,'Production Data-Daily Input'!$G:$G)&lt;&gt;0,SUMIF('Production Data-Daily Input'!$B:$B,"Total "&amp;$A41,'Production Data-Daily Input'!$G:$G),IF(SUMIF('Production Data-Weekly input'!$A:$A,$A41,'Production Data-Weekly input'!$F:$F)="","",SUMIF('Production Data-Weekly input'!$A:$A,$A41,'Production Data-Weekly input'!$F:$F))))</f>
        <v/>
      </c>
      <c r="N41" s="302" t="str">
        <f>Standard!G33</f>
        <v/>
      </c>
      <c r="O41" s="285" t="str">
        <f t="shared" si="0"/>
        <v/>
      </c>
      <c r="P41" s="303" t="str">
        <f>Standard!H33</f>
        <v/>
      </c>
      <c r="Q41" s="287" t="str">
        <f>IF(Q40="","",IF(AND(H41="",Q40=""),"",IF(O41="","",IF(M41="",IF(Q40="",0,Q40),(M41*H41/100*7*F41/Data!F$37)+IF(Q40="",0,Q40)))))</f>
        <v/>
      </c>
      <c r="R41" s="288" t="str">
        <f>Standard!I33</f>
        <v/>
      </c>
      <c r="S41" s="289" t="str">
        <f>IF(AND(F41="",Q41=""),"",IF(J41&lt;&gt;"",IF(Q41="","",Q41*Data!F$37/J41),""))</f>
        <v/>
      </c>
      <c r="T41" s="290" t="str">
        <f>Standard!J33</f>
        <v/>
      </c>
      <c r="U41" s="291" t="str">
        <f t="shared" si="1"/>
        <v/>
      </c>
      <c r="V41" s="292" t="str">
        <f>IF(F41="","",IF(SUMIF('Production Data-Weekly input'!$A:$A,A41,'Production Data-Weekly input'!$G:$G)&lt;&gt;0,SUMIF('Production Data-Weekly input'!$A:$A,A41,'Production Data-Weekly input'!$G:$G),(SUMIF('Production Data-Daily Input'!$B:$B,"Total "&amp;A41,'Production Data-Daily Input'!$H:$H)*1000/7/F41)))</f>
        <v/>
      </c>
      <c r="W41" s="293" t="str">
        <f t="shared" si="3"/>
        <v/>
      </c>
      <c r="X41" s="293" t="str">
        <f>IF(W41&lt;&gt;"",W41/Data!F$37*1000/((A41-16)*7),"")</f>
        <v/>
      </c>
      <c r="Y41" s="400" t="str">
        <f t="shared" si="4"/>
        <v/>
      </c>
      <c r="Z41" s="294" t="str">
        <f>IF(F41="","",IF(OR(Q41=0,Q41=""),"",IF(W41&lt;&gt;0,W41/(Q41*Data!F$37/1000),"")))</f>
        <v/>
      </c>
      <c r="AA41" s="295" t="str">
        <f>IF(AND(U41=0,SUMIF('Production Data-Weekly input'!$A:$A,$A41,'Production Data-Weekly input'!$H:$H)=0,SUMIF('Production Data-Daily Input'!$B:$B,"Total "&amp;A41,'Production Data-Daily Input'!$I:$I)=0),"",IF(F41="","",IF(SUMIF('Production Data-Weekly input'!$A:$A,$A41,'Production Data-Weekly input'!$H:$H)&lt;&gt;0,SUMIF('Production Data-Weekly input'!$A:$A,$A41,'Production Data-Weekly input'!$H:$H)*7/U41,SUMIF('Production Data-Daily Input'!$B:$B,"Total "&amp;A41,'Production Data-Daily Input'!$I:$I)*7/U41)))</f>
        <v/>
      </c>
      <c r="AB41" s="278">
        <f>SUMIF('Production Data-Daily Input'!$B:$B,"Total "&amp;$A41,'Production Data-Daily Input'!$E:$E)</f>
        <v>0</v>
      </c>
      <c r="AC41" s="296" t="str">
        <f>IF(F41="","",IF(G41&lt;&gt;0,IF(AB41&lt;&gt;0,AB41/G41,'Production Data-Weekly input'!D38/100),""))</f>
        <v/>
      </c>
      <c r="AD41" s="275">
        <f>SUMIF('Production Data-Daily Input'!$B:$B,"Total "&amp;$A41,'Production Data-Daily Input'!$F:$F)</f>
        <v>0</v>
      </c>
      <c r="AE41" s="296" t="str">
        <f>IF(F41="","",IF(G41&lt;&gt;0,IF(AD41&lt;&gt;0,AD41/G41,'Production Data-Weekly input'!E38/100),""))</f>
        <v/>
      </c>
      <c r="AF41" s="275">
        <f t="shared" si="5"/>
        <v>0</v>
      </c>
      <c r="AG41" s="297" t="str">
        <f t="shared" si="7"/>
        <v/>
      </c>
      <c r="AH41" s="298" t="str">
        <f>IF(AND(SUMIF('Production Data-Daily Input'!$B:$B,"Total "&amp;A41,'Production Data-Daily Input'!$J:$J)=0,SUMIF('Production Data-Weekly input'!$A:$A,A41,'Production Data-Weekly input'!$I:$I)=0),"",IF(SUMIF('Production Data-Daily Input'!$B:$B,"Total "&amp;A41,'Production Data-Daily Input'!$J:$J)&lt;&gt;0,SUMIF('Production Data-Daily Input'!$B:$B,"Total "&amp;A41,'Production Data-Daily Input'!$J:$J),SUMIF('Production Data-Weekly input'!$A:$A,A41,'Production Data-Weekly input'!$I:$I)))</f>
        <v/>
      </c>
    </row>
    <row r="42" spans="1:34" s="299" customFormat="1" ht="24.95" customHeight="1" x14ac:dyDescent="0.25">
      <c r="A42" s="273">
        <f t="shared" si="2"/>
        <v>44</v>
      </c>
      <c r="B42" s="429" t="str">
        <f>'Production Data-Daily Input'!B222</f>
        <v/>
      </c>
      <c r="C42" s="274" t="str">
        <f>IF(IF(AND(SUMIF('Production Data-Daily Input'!$B:$B,"Total "&amp;$A42,'Production Data-Daily Input'!$C:$C)="",SUMIF('Production Data-Weekly input'!$A:$A,A42,'Production Data-Weekly input'!$B:$B)=""),"",IF(SUMIF('Production Data-Daily Input'!$B:$B,"Total "&amp;$A42,'Production Data-Daily Input'!$C:$C)&lt;&gt;0,SUMIF('Production Data-Daily Input'!$B:$B,"Total "&amp;$A42,'Production Data-Daily Input'!$C:$C),SUMIF('Production Data-Weekly input'!$A:$A,A42,'Production Data-Weekly input'!$B:$B)/100*Data!$F$37))=0,"",IF(AND(SUMIF('Production Data-Daily Input'!$B:$B,"Total "&amp;$A42,'Production Data-Daily Input'!$C:$C)="",SUMIF('Production Data-Weekly input'!$A:$A,A42,'Production Data-Weekly input'!$B:$B)=""),"",IF(SUMIF('Production Data-Daily Input'!$B:$B,"Total "&amp;$A42,'Production Data-Daily Input'!$C:$C)&lt;&gt;0,SUMIF('Production Data-Daily Input'!$B:$B,"Total "&amp;$A42,'Production Data-Daily Input'!$C:$C),SUMIF('Production Data-Weekly input'!$A:$A,A42,'Production Data-Weekly input'!$B:$B)/100*Data!$F$37)))</f>
        <v/>
      </c>
      <c r="D42" s="275" t="str">
        <f>IF(AND(SUM(C42:$C$88)=0,SUMIF('Production Data-Daily Input'!$B:$B,"Total "&amp;$A42,'Production Data-Daily Input'!$D:$D)=0,SUMIF('Production Data-Weekly input'!$A:$A,$A42,'Production Data-Weekly input'!$C:$C)=0),"",IF(C42="",D41,C42+D41))</f>
        <v/>
      </c>
      <c r="E42" s="276" t="str">
        <f>IF(F42="","",F42/Data!F$37)</f>
        <v/>
      </c>
      <c r="F42" s="277" t="str">
        <f>IF(D42="","",Data!$F$37-D42)</f>
        <v/>
      </c>
      <c r="G42" s="278" t="str">
        <f>IF(F42="","",IF(SUMIF('Production Data-Daily Input'!$B:$B,"Total "&amp;$A42,'Production Data-Daily Input'!$D:$D)&lt;&gt;0,SUMIF('Production Data-Daily Input'!$B:$B,"Total "&amp;$A42,'Production Data-Daily Input'!$D:$D),IF(SUMIF('Production Data-Weekly input'!$A:$A,$A42,'Production Data-Weekly input'!$C:$C)=0,0,SUMIF('Production Data-Weekly input'!$A:$A,$A42,'Production Data-Weekly input'!$C:$C)/100*7*$F42)))</f>
        <v/>
      </c>
      <c r="H42" s="279" t="str">
        <f>IF(AND(G42="",'Production Data-Weekly input'!C39=""),"",IF(G42="",'Production Data-Weekly input'!C39,G42/F42/7*100))</f>
        <v/>
      </c>
      <c r="I42" s="300" t="str">
        <f>Standard!D34</f>
        <v/>
      </c>
      <c r="J42" s="275">
        <f t="shared" si="6"/>
        <v>0</v>
      </c>
      <c r="K42" s="281" t="str">
        <f>IF(H42="","",J42/Data!F$37)</f>
        <v/>
      </c>
      <c r="L42" s="301" t="str">
        <f>Standard!F34</f>
        <v/>
      </c>
      <c r="M42" s="283" t="str">
        <f>IF(IF(SUMIF('Production Data-Daily Input'!$B:$B,"Total "&amp;$A42,'Production Data-Daily Input'!$G:$G)&lt;&gt;0,SUMIF('Production Data-Daily Input'!$B:$B,"Total "&amp;$A42,'Production Data-Daily Input'!$G:$G),IF(SUMIF('Production Data-Weekly input'!$A:$A,$A42,'Production Data-Weekly input'!$F:$F)="","",SUMIF('Production Data-Weekly input'!$A:$A,$A42,'Production Data-Weekly input'!$F:$F)))=0,"",IF(SUMIF('Production Data-Daily Input'!$B:$B,"Total "&amp;$A42,'Production Data-Daily Input'!$G:$G)&lt;&gt;0,SUMIF('Production Data-Daily Input'!$B:$B,"Total "&amp;$A42,'Production Data-Daily Input'!$G:$G),IF(SUMIF('Production Data-Weekly input'!$A:$A,$A42,'Production Data-Weekly input'!$F:$F)="","",SUMIF('Production Data-Weekly input'!$A:$A,$A42,'Production Data-Weekly input'!$F:$F))))</f>
        <v/>
      </c>
      <c r="N42" s="302" t="str">
        <f>Standard!G34</f>
        <v/>
      </c>
      <c r="O42" s="285" t="str">
        <f t="shared" si="0"/>
        <v/>
      </c>
      <c r="P42" s="303" t="str">
        <f>Standard!H34</f>
        <v/>
      </c>
      <c r="Q42" s="287" t="str">
        <f>IF(Q41="","",IF(AND(H42="",Q41=""),"",IF(O42="","",IF(M42="",IF(Q41="",0,Q41),(M42*H42/100*7*F42/Data!F$37)+IF(Q41="",0,Q41)))))</f>
        <v/>
      </c>
      <c r="R42" s="288" t="str">
        <f>Standard!I34</f>
        <v/>
      </c>
      <c r="S42" s="289" t="str">
        <f>IF(AND(F42="",Q42=""),"",IF(J42&lt;&gt;"",IF(Q42="","",Q42*Data!F$37/J42),""))</f>
        <v/>
      </c>
      <c r="T42" s="290" t="str">
        <f>Standard!J34</f>
        <v/>
      </c>
      <c r="U42" s="291" t="str">
        <f t="shared" si="1"/>
        <v/>
      </c>
      <c r="V42" s="292" t="str">
        <f>IF(F42="","",IF(SUMIF('Production Data-Weekly input'!$A:$A,A42,'Production Data-Weekly input'!$G:$G)&lt;&gt;0,SUMIF('Production Data-Weekly input'!$A:$A,A42,'Production Data-Weekly input'!$G:$G),(SUMIF('Production Data-Daily Input'!$B:$B,"Total "&amp;A42,'Production Data-Daily Input'!$H:$H)*1000/7/F42)))</f>
        <v/>
      </c>
      <c r="W42" s="293" t="str">
        <f t="shared" si="3"/>
        <v/>
      </c>
      <c r="X42" s="293" t="str">
        <f>IF(W42&lt;&gt;"",W42/Data!F$37*1000/((A42-16)*7),"")</f>
        <v/>
      </c>
      <c r="Y42" s="400" t="str">
        <f t="shared" si="4"/>
        <v/>
      </c>
      <c r="Z42" s="294" t="str">
        <f>IF(F42="","",IF(OR(Q42=0,Q42=""),"",IF(W42&lt;&gt;0,W42/(Q42*Data!F$37/1000),"")))</f>
        <v/>
      </c>
      <c r="AA42" s="295" t="str">
        <f>IF(AND(U42=0,SUMIF('Production Data-Weekly input'!$A:$A,$A42,'Production Data-Weekly input'!$H:$H)=0,SUMIF('Production Data-Daily Input'!$B:$B,"Total "&amp;A42,'Production Data-Daily Input'!$I:$I)=0),"",IF(F42="","",IF(SUMIF('Production Data-Weekly input'!$A:$A,$A42,'Production Data-Weekly input'!$H:$H)&lt;&gt;0,SUMIF('Production Data-Weekly input'!$A:$A,$A42,'Production Data-Weekly input'!$H:$H)*7/U42,SUMIF('Production Data-Daily Input'!$B:$B,"Total "&amp;A42,'Production Data-Daily Input'!$I:$I)*7/U42)))</f>
        <v/>
      </c>
      <c r="AB42" s="278">
        <f>SUMIF('Production Data-Daily Input'!$B:$B,"Total "&amp;$A42,'Production Data-Daily Input'!$E:$E)</f>
        <v>0</v>
      </c>
      <c r="AC42" s="296" t="str">
        <f>IF(F42="","",IF(G42&lt;&gt;0,IF(AB42&lt;&gt;0,AB42/G42,'Production Data-Weekly input'!D39/100),""))</f>
        <v/>
      </c>
      <c r="AD42" s="275">
        <f>SUMIF('Production Data-Daily Input'!$B:$B,"Total "&amp;$A42,'Production Data-Daily Input'!$F:$F)</f>
        <v>0</v>
      </c>
      <c r="AE42" s="296" t="str">
        <f>IF(F42="","",IF(G42&lt;&gt;0,IF(AD42&lt;&gt;0,AD42/G42,'Production Data-Weekly input'!E39/100),""))</f>
        <v/>
      </c>
      <c r="AF42" s="275">
        <f t="shared" si="5"/>
        <v>0</v>
      </c>
      <c r="AG42" s="297" t="str">
        <f t="shared" si="7"/>
        <v/>
      </c>
      <c r="AH42" s="298" t="str">
        <f>IF(AND(SUMIF('Production Data-Daily Input'!$B:$B,"Total "&amp;A42,'Production Data-Daily Input'!$J:$J)=0,SUMIF('Production Data-Weekly input'!$A:$A,A42,'Production Data-Weekly input'!$I:$I)=0),"",IF(SUMIF('Production Data-Daily Input'!$B:$B,"Total "&amp;A42,'Production Data-Daily Input'!$J:$J)&lt;&gt;0,SUMIF('Production Data-Daily Input'!$B:$B,"Total "&amp;A42,'Production Data-Daily Input'!$J:$J),SUMIF('Production Data-Weekly input'!$A:$A,A42,'Production Data-Weekly input'!$I:$I)))</f>
        <v/>
      </c>
    </row>
    <row r="43" spans="1:34" s="299" customFormat="1" ht="24.95" customHeight="1" x14ac:dyDescent="0.25">
      <c r="A43" s="273">
        <f t="shared" si="2"/>
        <v>45</v>
      </c>
      <c r="B43" s="429" t="str">
        <f>'Production Data-Daily Input'!B230</f>
        <v/>
      </c>
      <c r="C43" s="274" t="str">
        <f>IF(IF(AND(SUMIF('Production Data-Daily Input'!$B:$B,"Total "&amp;$A43,'Production Data-Daily Input'!$C:$C)="",SUMIF('Production Data-Weekly input'!$A:$A,A43,'Production Data-Weekly input'!$B:$B)=""),"",IF(SUMIF('Production Data-Daily Input'!$B:$B,"Total "&amp;$A43,'Production Data-Daily Input'!$C:$C)&lt;&gt;0,SUMIF('Production Data-Daily Input'!$B:$B,"Total "&amp;$A43,'Production Data-Daily Input'!$C:$C),SUMIF('Production Data-Weekly input'!$A:$A,A43,'Production Data-Weekly input'!$B:$B)/100*Data!$F$37))=0,"",IF(AND(SUMIF('Production Data-Daily Input'!$B:$B,"Total "&amp;$A43,'Production Data-Daily Input'!$C:$C)="",SUMIF('Production Data-Weekly input'!$A:$A,A43,'Production Data-Weekly input'!$B:$B)=""),"",IF(SUMIF('Production Data-Daily Input'!$B:$B,"Total "&amp;$A43,'Production Data-Daily Input'!$C:$C)&lt;&gt;0,SUMIF('Production Data-Daily Input'!$B:$B,"Total "&amp;$A43,'Production Data-Daily Input'!$C:$C),SUMIF('Production Data-Weekly input'!$A:$A,A43,'Production Data-Weekly input'!$B:$B)/100*Data!$F$37)))</f>
        <v/>
      </c>
      <c r="D43" s="275" t="str">
        <f>IF(AND(SUM(C43:$C$88)=0,SUMIF('Production Data-Daily Input'!$B:$B,"Total "&amp;$A43,'Production Data-Daily Input'!$D:$D)=0,SUMIF('Production Data-Weekly input'!$A:$A,$A43,'Production Data-Weekly input'!$C:$C)=0),"",IF(C43="",D42,C43+D42))</f>
        <v/>
      </c>
      <c r="E43" s="276" t="str">
        <f>IF(F43="","",F43/Data!F$37)</f>
        <v/>
      </c>
      <c r="F43" s="277" t="str">
        <f>IF(D43="","",Data!$F$37-D43)</f>
        <v/>
      </c>
      <c r="G43" s="278" t="str">
        <f>IF(F43="","",IF(SUMIF('Production Data-Daily Input'!$B:$B,"Total "&amp;$A43,'Production Data-Daily Input'!$D:$D)&lt;&gt;0,SUMIF('Production Data-Daily Input'!$B:$B,"Total "&amp;$A43,'Production Data-Daily Input'!$D:$D),IF(SUMIF('Production Data-Weekly input'!$A:$A,$A43,'Production Data-Weekly input'!$C:$C)=0,0,SUMIF('Production Data-Weekly input'!$A:$A,$A43,'Production Data-Weekly input'!$C:$C)/100*7*$F43)))</f>
        <v/>
      </c>
      <c r="H43" s="279" t="str">
        <f>IF(AND(G43="",'Production Data-Weekly input'!C40=""),"",IF(G43="",'Production Data-Weekly input'!C40,G43/F43/7*100))</f>
        <v/>
      </c>
      <c r="I43" s="300" t="str">
        <f>Standard!D35</f>
        <v/>
      </c>
      <c r="J43" s="275">
        <f t="shared" si="6"/>
        <v>0</v>
      </c>
      <c r="K43" s="281" t="str">
        <f>IF(H43="","",J43/Data!F$37)</f>
        <v/>
      </c>
      <c r="L43" s="301" t="str">
        <f>Standard!F35</f>
        <v/>
      </c>
      <c r="M43" s="283" t="str">
        <f>IF(IF(SUMIF('Production Data-Daily Input'!$B:$B,"Total "&amp;$A43,'Production Data-Daily Input'!$G:$G)&lt;&gt;0,SUMIF('Production Data-Daily Input'!$B:$B,"Total "&amp;$A43,'Production Data-Daily Input'!$G:$G),IF(SUMIF('Production Data-Weekly input'!$A:$A,$A43,'Production Data-Weekly input'!$F:$F)="","",SUMIF('Production Data-Weekly input'!$A:$A,$A43,'Production Data-Weekly input'!$F:$F)))=0,"",IF(SUMIF('Production Data-Daily Input'!$B:$B,"Total "&amp;$A43,'Production Data-Daily Input'!$G:$G)&lt;&gt;0,SUMIF('Production Data-Daily Input'!$B:$B,"Total "&amp;$A43,'Production Data-Daily Input'!$G:$G),IF(SUMIF('Production Data-Weekly input'!$A:$A,$A43,'Production Data-Weekly input'!$F:$F)="","",SUMIF('Production Data-Weekly input'!$A:$A,$A43,'Production Data-Weekly input'!$F:$F))))</f>
        <v/>
      </c>
      <c r="N43" s="302" t="str">
        <f>Standard!G35</f>
        <v/>
      </c>
      <c r="O43" s="285" t="str">
        <f t="shared" si="0"/>
        <v/>
      </c>
      <c r="P43" s="303" t="str">
        <f>Standard!H35</f>
        <v/>
      </c>
      <c r="Q43" s="287" t="str">
        <f>IF(Q42="","",IF(AND(H43="",Q42=""),"",IF(O43="","",IF(M43="",IF(Q42="",0,Q42),(M43*H43/100*7*F43/Data!F$37)+IF(Q42="",0,Q42)))))</f>
        <v/>
      </c>
      <c r="R43" s="288" t="str">
        <f>Standard!I35</f>
        <v/>
      </c>
      <c r="S43" s="289" t="str">
        <f>IF(AND(F43="",Q43=""),"",IF(J43&lt;&gt;"",IF(Q43="","",Q43*Data!F$37/J43),""))</f>
        <v/>
      </c>
      <c r="T43" s="290" t="str">
        <f>Standard!J35</f>
        <v/>
      </c>
      <c r="U43" s="291" t="str">
        <f t="shared" si="1"/>
        <v/>
      </c>
      <c r="V43" s="292" t="str">
        <f>IF(F43="","",IF(SUMIF('Production Data-Weekly input'!$A:$A,A43,'Production Data-Weekly input'!$G:$G)&lt;&gt;0,SUMIF('Production Data-Weekly input'!$A:$A,A43,'Production Data-Weekly input'!$G:$G),(SUMIF('Production Data-Daily Input'!$B:$B,"Total "&amp;A43,'Production Data-Daily Input'!$H:$H)*1000/7/F43)))</f>
        <v/>
      </c>
      <c r="W43" s="293" t="str">
        <f t="shared" si="3"/>
        <v/>
      </c>
      <c r="X43" s="293" t="str">
        <f>IF(W43&lt;&gt;"",W43/Data!F$37*1000/((A43-16)*7),"")</f>
        <v/>
      </c>
      <c r="Y43" s="400" t="str">
        <f t="shared" si="4"/>
        <v/>
      </c>
      <c r="Z43" s="294" t="str">
        <f>IF(F43="","",IF(OR(Q43=0,Q43=""),"",IF(W43&lt;&gt;0,W43/(Q43*Data!F$37/1000),"")))</f>
        <v/>
      </c>
      <c r="AA43" s="295" t="str">
        <f>IF(AND(U43=0,SUMIF('Production Data-Weekly input'!$A:$A,$A43,'Production Data-Weekly input'!$H:$H)=0,SUMIF('Production Data-Daily Input'!$B:$B,"Total "&amp;A43,'Production Data-Daily Input'!$I:$I)=0),"",IF(F43="","",IF(SUMIF('Production Data-Weekly input'!$A:$A,$A43,'Production Data-Weekly input'!$H:$H)&lt;&gt;0,SUMIF('Production Data-Weekly input'!$A:$A,$A43,'Production Data-Weekly input'!$H:$H)*7/U43,SUMIF('Production Data-Daily Input'!$B:$B,"Total "&amp;A43,'Production Data-Daily Input'!$I:$I)*7/U43)))</f>
        <v/>
      </c>
      <c r="AB43" s="278">
        <f>SUMIF('Production Data-Daily Input'!$B:$B,"Total "&amp;$A43,'Production Data-Daily Input'!$E:$E)</f>
        <v>0</v>
      </c>
      <c r="AC43" s="296" t="str">
        <f>IF(F43="","",IF(G43&lt;&gt;0,IF(AB43&lt;&gt;0,AB43/G43,'Production Data-Weekly input'!D40/100),""))</f>
        <v/>
      </c>
      <c r="AD43" s="275">
        <f>SUMIF('Production Data-Daily Input'!$B:$B,"Total "&amp;$A43,'Production Data-Daily Input'!$F:$F)</f>
        <v>0</v>
      </c>
      <c r="AE43" s="296" t="str">
        <f>IF(F43="","",IF(G43&lt;&gt;0,IF(AD43&lt;&gt;0,AD43/G43,'Production Data-Weekly input'!E40/100),""))</f>
        <v/>
      </c>
      <c r="AF43" s="275">
        <f t="shared" si="5"/>
        <v>0</v>
      </c>
      <c r="AG43" s="297" t="str">
        <f t="shared" si="7"/>
        <v/>
      </c>
      <c r="AH43" s="298" t="str">
        <f>IF(AND(SUMIF('Production Data-Daily Input'!$B:$B,"Total "&amp;A43,'Production Data-Daily Input'!$J:$J)=0,SUMIF('Production Data-Weekly input'!$A:$A,A43,'Production Data-Weekly input'!$I:$I)=0),"",IF(SUMIF('Production Data-Daily Input'!$B:$B,"Total "&amp;A43,'Production Data-Daily Input'!$J:$J)&lt;&gt;0,SUMIF('Production Data-Daily Input'!$B:$B,"Total "&amp;A43,'Production Data-Daily Input'!$J:$J),SUMIF('Production Data-Weekly input'!$A:$A,A43,'Production Data-Weekly input'!$I:$I)))</f>
        <v/>
      </c>
    </row>
    <row r="44" spans="1:34" s="299" customFormat="1" ht="24.95" customHeight="1" x14ac:dyDescent="0.25">
      <c r="A44" s="273">
        <f t="shared" si="2"/>
        <v>46</v>
      </c>
      <c r="B44" s="429" t="str">
        <f>'Production Data-Daily Input'!B238</f>
        <v/>
      </c>
      <c r="C44" s="274" t="str">
        <f>IF(IF(AND(SUMIF('Production Data-Daily Input'!$B:$B,"Total "&amp;$A44,'Production Data-Daily Input'!$C:$C)="",SUMIF('Production Data-Weekly input'!$A:$A,A44,'Production Data-Weekly input'!$B:$B)=""),"",IF(SUMIF('Production Data-Daily Input'!$B:$B,"Total "&amp;$A44,'Production Data-Daily Input'!$C:$C)&lt;&gt;0,SUMIF('Production Data-Daily Input'!$B:$B,"Total "&amp;$A44,'Production Data-Daily Input'!$C:$C),SUMIF('Production Data-Weekly input'!$A:$A,A44,'Production Data-Weekly input'!$B:$B)/100*Data!$F$37))=0,"",IF(AND(SUMIF('Production Data-Daily Input'!$B:$B,"Total "&amp;$A44,'Production Data-Daily Input'!$C:$C)="",SUMIF('Production Data-Weekly input'!$A:$A,A44,'Production Data-Weekly input'!$B:$B)=""),"",IF(SUMIF('Production Data-Daily Input'!$B:$B,"Total "&amp;$A44,'Production Data-Daily Input'!$C:$C)&lt;&gt;0,SUMIF('Production Data-Daily Input'!$B:$B,"Total "&amp;$A44,'Production Data-Daily Input'!$C:$C),SUMIF('Production Data-Weekly input'!$A:$A,A44,'Production Data-Weekly input'!$B:$B)/100*Data!$F$37)))</f>
        <v/>
      </c>
      <c r="D44" s="275" t="str">
        <f>IF(AND(SUM(C44:$C$88)=0,SUMIF('Production Data-Daily Input'!$B:$B,"Total "&amp;$A44,'Production Data-Daily Input'!$D:$D)=0,SUMIF('Production Data-Weekly input'!$A:$A,$A44,'Production Data-Weekly input'!$C:$C)=0),"",IF(C44="",D43,C44+D43))</f>
        <v/>
      </c>
      <c r="E44" s="276" t="str">
        <f>IF(F44="","",F44/Data!F$37)</f>
        <v/>
      </c>
      <c r="F44" s="277" t="str">
        <f>IF(D44="","",Data!$F$37-D44)</f>
        <v/>
      </c>
      <c r="G44" s="278" t="str">
        <f>IF(F44="","",IF(SUMIF('Production Data-Daily Input'!$B:$B,"Total "&amp;$A44,'Production Data-Daily Input'!$D:$D)&lt;&gt;0,SUMIF('Production Data-Daily Input'!$B:$B,"Total "&amp;$A44,'Production Data-Daily Input'!$D:$D),IF(SUMIF('Production Data-Weekly input'!$A:$A,$A44,'Production Data-Weekly input'!$C:$C)=0,0,SUMIF('Production Data-Weekly input'!$A:$A,$A44,'Production Data-Weekly input'!$C:$C)/100*7*$F44)))</f>
        <v/>
      </c>
      <c r="H44" s="279" t="str">
        <f>IF(AND(G44="",'Production Data-Weekly input'!C41=""),"",IF(G44="",'Production Data-Weekly input'!C41,G44/F44/7*100))</f>
        <v/>
      </c>
      <c r="I44" s="300" t="str">
        <f>Standard!D36</f>
        <v/>
      </c>
      <c r="J44" s="275">
        <f t="shared" si="6"/>
        <v>0</v>
      </c>
      <c r="K44" s="281" t="str">
        <f>IF(H44="","",J44/Data!F$37)</f>
        <v/>
      </c>
      <c r="L44" s="301" t="str">
        <f>Standard!F36</f>
        <v/>
      </c>
      <c r="M44" s="283" t="str">
        <f>IF(IF(SUMIF('Production Data-Daily Input'!$B:$B,"Total "&amp;$A44,'Production Data-Daily Input'!$G:$G)&lt;&gt;0,SUMIF('Production Data-Daily Input'!$B:$B,"Total "&amp;$A44,'Production Data-Daily Input'!$G:$G),IF(SUMIF('Production Data-Weekly input'!$A:$A,$A44,'Production Data-Weekly input'!$F:$F)="","",SUMIF('Production Data-Weekly input'!$A:$A,$A44,'Production Data-Weekly input'!$F:$F)))=0,"",IF(SUMIF('Production Data-Daily Input'!$B:$B,"Total "&amp;$A44,'Production Data-Daily Input'!$G:$G)&lt;&gt;0,SUMIF('Production Data-Daily Input'!$B:$B,"Total "&amp;$A44,'Production Data-Daily Input'!$G:$G),IF(SUMIF('Production Data-Weekly input'!$A:$A,$A44,'Production Data-Weekly input'!$F:$F)="","",SUMIF('Production Data-Weekly input'!$A:$A,$A44,'Production Data-Weekly input'!$F:$F))))</f>
        <v/>
      </c>
      <c r="N44" s="302" t="str">
        <f>Standard!G36</f>
        <v/>
      </c>
      <c r="O44" s="285" t="str">
        <f t="shared" si="0"/>
        <v/>
      </c>
      <c r="P44" s="303" t="str">
        <f>Standard!H36</f>
        <v/>
      </c>
      <c r="Q44" s="287" t="str">
        <f>IF(Q43="","",IF(AND(H44="",Q43=""),"",IF(O44="","",IF(M44="",IF(Q43="",0,Q43),(M44*H44/100*7*F44/Data!F$37)+IF(Q43="",0,Q43)))))</f>
        <v/>
      </c>
      <c r="R44" s="288" t="str">
        <f>Standard!I36</f>
        <v/>
      </c>
      <c r="S44" s="289" t="str">
        <f>IF(AND(F44="",Q44=""),"",IF(J44&lt;&gt;"",IF(Q44="","",Q44*Data!F$37/J44),""))</f>
        <v/>
      </c>
      <c r="T44" s="290" t="str">
        <f>Standard!J36</f>
        <v/>
      </c>
      <c r="U44" s="291" t="str">
        <f t="shared" si="1"/>
        <v/>
      </c>
      <c r="V44" s="292" t="str">
        <f>IF(F44="","",IF(SUMIF('Production Data-Weekly input'!$A:$A,A44,'Production Data-Weekly input'!$G:$G)&lt;&gt;0,SUMIF('Production Data-Weekly input'!$A:$A,A44,'Production Data-Weekly input'!$G:$G),(SUMIF('Production Data-Daily Input'!$B:$B,"Total "&amp;A44,'Production Data-Daily Input'!$H:$H)*1000/7/F44)))</f>
        <v/>
      </c>
      <c r="W44" s="293" t="str">
        <f t="shared" si="3"/>
        <v/>
      </c>
      <c r="X44" s="293" t="str">
        <f>IF(W44&lt;&gt;"",W44/Data!F$37*1000/((A44-16)*7),"")</f>
        <v/>
      </c>
      <c r="Y44" s="400" t="str">
        <f t="shared" si="4"/>
        <v/>
      </c>
      <c r="Z44" s="294" t="str">
        <f>IF(F44="","",IF(OR(Q44=0,Q44=""),"",IF(W44&lt;&gt;0,W44/(Q44*Data!F$37/1000),"")))</f>
        <v/>
      </c>
      <c r="AA44" s="295" t="str">
        <f>IF(AND(U44=0,SUMIF('Production Data-Weekly input'!$A:$A,$A44,'Production Data-Weekly input'!$H:$H)=0,SUMIF('Production Data-Daily Input'!$B:$B,"Total "&amp;A44,'Production Data-Daily Input'!$I:$I)=0),"",IF(F44="","",IF(SUMIF('Production Data-Weekly input'!$A:$A,$A44,'Production Data-Weekly input'!$H:$H)&lt;&gt;0,SUMIF('Production Data-Weekly input'!$A:$A,$A44,'Production Data-Weekly input'!$H:$H)*7/U44,SUMIF('Production Data-Daily Input'!$B:$B,"Total "&amp;A44,'Production Data-Daily Input'!$I:$I)*7/U44)))</f>
        <v/>
      </c>
      <c r="AB44" s="278">
        <f>SUMIF('Production Data-Daily Input'!$B:$B,"Total "&amp;$A44,'Production Data-Daily Input'!$E:$E)</f>
        <v>0</v>
      </c>
      <c r="AC44" s="296" t="str">
        <f>IF(F44="","",IF(G44&lt;&gt;0,IF(AB44&lt;&gt;0,AB44/G44,'Production Data-Weekly input'!D41/100),""))</f>
        <v/>
      </c>
      <c r="AD44" s="275">
        <f>SUMIF('Production Data-Daily Input'!$B:$B,"Total "&amp;$A44,'Production Data-Daily Input'!$F:$F)</f>
        <v>0</v>
      </c>
      <c r="AE44" s="296" t="str">
        <f>IF(F44="","",IF(G44&lt;&gt;0,IF(AD44&lt;&gt;0,AD44/G44,'Production Data-Weekly input'!E41/100),""))</f>
        <v/>
      </c>
      <c r="AF44" s="275">
        <f t="shared" si="5"/>
        <v>0</v>
      </c>
      <c r="AG44" s="297" t="str">
        <f t="shared" si="7"/>
        <v/>
      </c>
      <c r="AH44" s="298" t="str">
        <f>IF(AND(SUMIF('Production Data-Daily Input'!$B:$B,"Total "&amp;A44,'Production Data-Daily Input'!$J:$J)=0,SUMIF('Production Data-Weekly input'!$A:$A,A44,'Production Data-Weekly input'!$I:$I)=0),"",IF(SUMIF('Production Data-Daily Input'!$B:$B,"Total "&amp;A44,'Production Data-Daily Input'!$J:$J)&lt;&gt;0,SUMIF('Production Data-Daily Input'!$B:$B,"Total "&amp;A44,'Production Data-Daily Input'!$J:$J),SUMIF('Production Data-Weekly input'!$A:$A,A44,'Production Data-Weekly input'!$I:$I)))</f>
        <v/>
      </c>
    </row>
    <row r="45" spans="1:34" s="299" customFormat="1" ht="24.95" customHeight="1" x14ac:dyDescent="0.25">
      <c r="A45" s="273">
        <f t="shared" si="2"/>
        <v>47</v>
      </c>
      <c r="B45" s="429" t="str">
        <f>'Production Data-Daily Input'!B246</f>
        <v/>
      </c>
      <c r="C45" s="274" t="str">
        <f>IF(IF(AND(SUMIF('Production Data-Daily Input'!$B:$B,"Total "&amp;$A45,'Production Data-Daily Input'!$C:$C)="",SUMIF('Production Data-Weekly input'!$A:$A,A45,'Production Data-Weekly input'!$B:$B)=""),"",IF(SUMIF('Production Data-Daily Input'!$B:$B,"Total "&amp;$A45,'Production Data-Daily Input'!$C:$C)&lt;&gt;0,SUMIF('Production Data-Daily Input'!$B:$B,"Total "&amp;$A45,'Production Data-Daily Input'!$C:$C),SUMIF('Production Data-Weekly input'!$A:$A,A45,'Production Data-Weekly input'!$B:$B)/100*Data!$F$37))=0,"",IF(AND(SUMIF('Production Data-Daily Input'!$B:$B,"Total "&amp;$A45,'Production Data-Daily Input'!$C:$C)="",SUMIF('Production Data-Weekly input'!$A:$A,A45,'Production Data-Weekly input'!$B:$B)=""),"",IF(SUMIF('Production Data-Daily Input'!$B:$B,"Total "&amp;$A45,'Production Data-Daily Input'!$C:$C)&lt;&gt;0,SUMIF('Production Data-Daily Input'!$B:$B,"Total "&amp;$A45,'Production Data-Daily Input'!$C:$C),SUMIF('Production Data-Weekly input'!$A:$A,A45,'Production Data-Weekly input'!$B:$B)/100*Data!$F$37)))</f>
        <v/>
      </c>
      <c r="D45" s="275" t="str">
        <f>IF(AND(SUM(C45:$C$88)=0,SUMIF('Production Data-Daily Input'!$B:$B,"Total "&amp;$A45,'Production Data-Daily Input'!$D:$D)=0,SUMIF('Production Data-Weekly input'!$A:$A,$A45,'Production Data-Weekly input'!$C:$C)=0),"",IF(C45="",D44,C45+D44))</f>
        <v/>
      </c>
      <c r="E45" s="276" t="str">
        <f>IF(F45="","",F45/Data!F$37)</f>
        <v/>
      </c>
      <c r="F45" s="277" t="str">
        <f>IF(D45="","",Data!$F$37-D45)</f>
        <v/>
      </c>
      <c r="G45" s="278" t="str">
        <f>IF(F45="","",IF(SUMIF('Production Data-Daily Input'!$B:$B,"Total "&amp;$A45,'Production Data-Daily Input'!$D:$D)&lt;&gt;0,SUMIF('Production Data-Daily Input'!$B:$B,"Total "&amp;$A45,'Production Data-Daily Input'!$D:$D),IF(SUMIF('Production Data-Weekly input'!$A:$A,$A45,'Production Data-Weekly input'!$C:$C)=0,0,SUMIF('Production Data-Weekly input'!$A:$A,$A45,'Production Data-Weekly input'!$C:$C)/100*7*$F45)))</f>
        <v/>
      </c>
      <c r="H45" s="279" t="str">
        <f>IF(AND(G45="",'Production Data-Weekly input'!C42=""),"",IF(G45="",'Production Data-Weekly input'!C42,G45/F45/7*100))</f>
        <v/>
      </c>
      <c r="I45" s="300" t="str">
        <f>Standard!D37</f>
        <v/>
      </c>
      <c r="J45" s="275">
        <f t="shared" si="6"/>
        <v>0</v>
      </c>
      <c r="K45" s="281" t="str">
        <f>IF(H45="","",J45/Data!F$37)</f>
        <v/>
      </c>
      <c r="L45" s="301" t="str">
        <f>Standard!F37</f>
        <v/>
      </c>
      <c r="M45" s="283" t="str">
        <f>IF(IF(SUMIF('Production Data-Daily Input'!$B:$B,"Total "&amp;$A45,'Production Data-Daily Input'!$G:$G)&lt;&gt;0,SUMIF('Production Data-Daily Input'!$B:$B,"Total "&amp;$A45,'Production Data-Daily Input'!$G:$G),IF(SUMIF('Production Data-Weekly input'!$A:$A,$A45,'Production Data-Weekly input'!$F:$F)="","",SUMIF('Production Data-Weekly input'!$A:$A,$A45,'Production Data-Weekly input'!$F:$F)))=0,"",IF(SUMIF('Production Data-Daily Input'!$B:$B,"Total "&amp;$A45,'Production Data-Daily Input'!$G:$G)&lt;&gt;0,SUMIF('Production Data-Daily Input'!$B:$B,"Total "&amp;$A45,'Production Data-Daily Input'!$G:$G),IF(SUMIF('Production Data-Weekly input'!$A:$A,$A45,'Production Data-Weekly input'!$F:$F)="","",SUMIF('Production Data-Weekly input'!$A:$A,$A45,'Production Data-Weekly input'!$F:$F))))</f>
        <v/>
      </c>
      <c r="N45" s="302" t="str">
        <f>Standard!G37</f>
        <v/>
      </c>
      <c r="O45" s="285" t="str">
        <f t="shared" si="0"/>
        <v/>
      </c>
      <c r="P45" s="303" t="str">
        <f>Standard!H37</f>
        <v/>
      </c>
      <c r="Q45" s="287" t="str">
        <f>IF(Q44="","",IF(AND(H45="",Q44=""),"",IF(O45="","",IF(M45="",IF(Q44="",0,Q44),(M45*H45/100*7*F45/Data!F$37)+IF(Q44="",0,Q44)))))</f>
        <v/>
      </c>
      <c r="R45" s="288" t="str">
        <f>Standard!I37</f>
        <v/>
      </c>
      <c r="S45" s="289" t="str">
        <f>IF(AND(F45="",Q45=""),"",IF(J45&lt;&gt;"",IF(Q45="","",Q45*Data!F$37/J45),""))</f>
        <v/>
      </c>
      <c r="T45" s="290" t="str">
        <f>Standard!J37</f>
        <v/>
      </c>
      <c r="U45" s="291" t="str">
        <f t="shared" si="1"/>
        <v/>
      </c>
      <c r="V45" s="292" t="str">
        <f>IF(F45="","",IF(SUMIF('Production Data-Weekly input'!$A:$A,A45,'Production Data-Weekly input'!$G:$G)&lt;&gt;0,SUMIF('Production Data-Weekly input'!$A:$A,A45,'Production Data-Weekly input'!$G:$G),(SUMIF('Production Data-Daily Input'!$B:$B,"Total "&amp;A45,'Production Data-Daily Input'!$H:$H)*1000/7/F45)))</f>
        <v/>
      </c>
      <c r="W45" s="293" t="str">
        <f t="shared" si="3"/>
        <v/>
      </c>
      <c r="X45" s="293" t="str">
        <f>IF(W45&lt;&gt;"",W45/Data!F$37*1000/((A45-16)*7),"")</f>
        <v/>
      </c>
      <c r="Y45" s="400" t="str">
        <f t="shared" si="4"/>
        <v/>
      </c>
      <c r="Z45" s="294" t="str">
        <f>IF(F45="","",IF(OR(Q45=0,Q45=""),"",IF(W45&lt;&gt;0,W45/(Q45*Data!F$37/1000),"")))</f>
        <v/>
      </c>
      <c r="AA45" s="295" t="str">
        <f>IF(AND(U45=0,SUMIF('Production Data-Weekly input'!$A:$A,$A45,'Production Data-Weekly input'!$H:$H)=0,SUMIF('Production Data-Daily Input'!$B:$B,"Total "&amp;A45,'Production Data-Daily Input'!$I:$I)=0),"",IF(F45="","",IF(SUMIF('Production Data-Weekly input'!$A:$A,$A45,'Production Data-Weekly input'!$H:$H)&lt;&gt;0,SUMIF('Production Data-Weekly input'!$A:$A,$A45,'Production Data-Weekly input'!$H:$H)*7/U45,SUMIF('Production Data-Daily Input'!$B:$B,"Total "&amp;A45,'Production Data-Daily Input'!$I:$I)*7/U45)))</f>
        <v/>
      </c>
      <c r="AB45" s="278">
        <f>SUMIF('Production Data-Daily Input'!$B:$B,"Total "&amp;$A45,'Production Data-Daily Input'!$E:$E)</f>
        <v>0</v>
      </c>
      <c r="AC45" s="296" t="str">
        <f>IF(F45="","",IF(G45&lt;&gt;0,IF(AB45&lt;&gt;0,AB45/G45,'Production Data-Weekly input'!D42/100),""))</f>
        <v/>
      </c>
      <c r="AD45" s="275">
        <f>SUMIF('Production Data-Daily Input'!$B:$B,"Total "&amp;$A45,'Production Data-Daily Input'!$F:$F)</f>
        <v>0</v>
      </c>
      <c r="AE45" s="296" t="str">
        <f>IF(F45="","",IF(G45&lt;&gt;0,IF(AD45&lt;&gt;0,AD45/G45,'Production Data-Weekly input'!E42/100),""))</f>
        <v/>
      </c>
      <c r="AF45" s="275">
        <f t="shared" si="5"/>
        <v>0</v>
      </c>
      <c r="AG45" s="297" t="str">
        <f t="shared" si="7"/>
        <v/>
      </c>
      <c r="AH45" s="298" t="str">
        <f>IF(AND(SUMIF('Production Data-Daily Input'!$B:$B,"Total "&amp;A45,'Production Data-Daily Input'!$J:$J)=0,SUMIF('Production Data-Weekly input'!$A:$A,A45,'Production Data-Weekly input'!$I:$I)=0),"",IF(SUMIF('Production Data-Daily Input'!$B:$B,"Total "&amp;A45,'Production Data-Daily Input'!$J:$J)&lt;&gt;0,SUMIF('Production Data-Daily Input'!$B:$B,"Total "&amp;A45,'Production Data-Daily Input'!$J:$J),SUMIF('Production Data-Weekly input'!$A:$A,A45,'Production Data-Weekly input'!$I:$I)))</f>
        <v/>
      </c>
    </row>
    <row r="46" spans="1:34" s="299" customFormat="1" ht="24.95" customHeight="1" x14ac:dyDescent="0.25">
      <c r="A46" s="273">
        <f t="shared" si="2"/>
        <v>48</v>
      </c>
      <c r="B46" s="429" t="str">
        <f>'Production Data-Daily Input'!B254</f>
        <v/>
      </c>
      <c r="C46" s="274" t="str">
        <f>IF(IF(AND(SUMIF('Production Data-Daily Input'!$B:$B,"Total "&amp;$A46,'Production Data-Daily Input'!$C:$C)="",SUMIF('Production Data-Weekly input'!$A:$A,A46,'Production Data-Weekly input'!$B:$B)=""),"",IF(SUMIF('Production Data-Daily Input'!$B:$B,"Total "&amp;$A46,'Production Data-Daily Input'!$C:$C)&lt;&gt;0,SUMIF('Production Data-Daily Input'!$B:$B,"Total "&amp;$A46,'Production Data-Daily Input'!$C:$C),SUMIF('Production Data-Weekly input'!$A:$A,A46,'Production Data-Weekly input'!$B:$B)/100*Data!$F$37))=0,"",IF(AND(SUMIF('Production Data-Daily Input'!$B:$B,"Total "&amp;$A46,'Production Data-Daily Input'!$C:$C)="",SUMIF('Production Data-Weekly input'!$A:$A,A46,'Production Data-Weekly input'!$B:$B)=""),"",IF(SUMIF('Production Data-Daily Input'!$B:$B,"Total "&amp;$A46,'Production Data-Daily Input'!$C:$C)&lt;&gt;0,SUMIF('Production Data-Daily Input'!$B:$B,"Total "&amp;$A46,'Production Data-Daily Input'!$C:$C),SUMIF('Production Data-Weekly input'!$A:$A,A46,'Production Data-Weekly input'!$B:$B)/100*Data!$F$37)))</f>
        <v/>
      </c>
      <c r="D46" s="275" t="str">
        <f>IF(AND(SUM(C46:$C$88)=0,SUMIF('Production Data-Daily Input'!$B:$B,"Total "&amp;$A46,'Production Data-Daily Input'!$D:$D)=0,SUMIF('Production Data-Weekly input'!$A:$A,$A46,'Production Data-Weekly input'!$C:$C)=0),"",IF(C46="",D45,C46+D45))</f>
        <v/>
      </c>
      <c r="E46" s="276" t="str">
        <f>IF(F46="","",F46/Data!F$37)</f>
        <v/>
      </c>
      <c r="F46" s="277" t="str">
        <f>IF(D46="","",Data!$F$37-D46)</f>
        <v/>
      </c>
      <c r="G46" s="278" t="str">
        <f>IF(F46="","",IF(SUMIF('Production Data-Daily Input'!$B:$B,"Total "&amp;$A46,'Production Data-Daily Input'!$D:$D)&lt;&gt;0,SUMIF('Production Data-Daily Input'!$B:$B,"Total "&amp;$A46,'Production Data-Daily Input'!$D:$D),IF(SUMIF('Production Data-Weekly input'!$A:$A,$A46,'Production Data-Weekly input'!$C:$C)=0,0,SUMIF('Production Data-Weekly input'!$A:$A,$A46,'Production Data-Weekly input'!$C:$C)/100*7*$F46)))</f>
        <v/>
      </c>
      <c r="H46" s="279" t="str">
        <f>IF(AND(G46="",'Production Data-Weekly input'!C43=""),"",IF(G46="",'Production Data-Weekly input'!C43,G46/F46/7*100))</f>
        <v/>
      </c>
      <c r="I46" s="300" t="str">
        <f>Standard!D38</f>
        <v/>
      </c>
      <c r="J46" s="275">
        <f t="shared" si="6"/>
        <v>0</v>
      </c>
      <c r="K46" s="281" t="str">
        <f>IF(H46="","",J46/Data!F$37)</f>
        <v/>
      </c>
      <c r="L46" s="301" t="str">
        <f>Standard!F38</f>
        <v/>
      </c>
      <c r="M46" s="283" t="str">
        <f>IF(IF(SUMIF('Production Data-Daily Input'!$B:$B,"Total "&amp;$A46,'Production Data-Daily Input'!$G:$G)&lt;&gt;0,SUMIF('Production Data-Daily Input'!$B:$B,"Total "&amp;$A46,'Production Data-Daily Input'!$G:$G),IF(SUMIF('Production Data-Weekly input'!$A:$A,$A46,'Production Data-Weekly input'!$F:$F)="","",SUMIF('Production Data-Weekly input'!$A:$A,$A46,'Production Data-Weekly input'!$F:$F)))=0,"",IF(SUMIF('Production Data-Daily Input'!$B:$B,"Total "&amp;$A46,'Production Data-Daily Input'!$G:$G)&lt;&gt;0,SUMIF('Production Data-Daily Input'!$B:$B,"Total "&amp;$A46,'Production Data-Daily Input'!$G:$G),IF(SUMIF('Production Data-Weekly input'!$A:$A,$A46,'Production Data-Weekly input'!$F:$F)="","",SUMIF('Production Data-Weekly input'!$A:$A,$A46,'Production Data-Weekly input'!$F:$F))))</f>
        <v/>
      </c>
      <c r="N46" s="302" t="str">
        <f>Standard!G38</f>
        <v/>
      </c>
      <c r="O46" s="285" t="str">
        <f t="shared" si="0"/>
        <v/>
      </c>
      <c r="P46" s="303" t="str">
        <f>Standard!H38</f>
        <v/>
      </c>
      <c r="Q46" s="287" t="str">
        <f>IF(Q45="","",IF(AND(H46="",Q45=""),"",IF(O46="","",IF(M46="",IF(Q45="",0,Q45),(M46*H46/100*7*F46/Data!F$37)+IF(Q45="",0,Q45)))))</f>
        <v/>
      </c>
      <c r="R46" s="288" t="str">
        <f>Standard!I38</f>
        <v/>
      </c>
      <c r="S46" s="289" t="str">
        <f>IF(AND(F46="",Q46=""),"",IF(J46&lt;&gt;"",IF(Q46="","",Q46*Data!F$37/J46),""))</f>
        <v/>
      </c>
      <c r="T46" s="290" t="str">
        <f>Standard!J38</f>
        <v/>
      </c>
      <c r="U46" s="291" t="str">
        <f t="shared" si="1"/>
        <v/>
      </c>
      <c r="V46" s="292" t="str">
        <f>IF(F46="","",IF(SUMIF('Production Data-Weekly input'!$A:$A,A46,'Production Data-Weekly input'!$G:$G)&lt;&gt;0,SUMIF('Production Data-Weekly input'!$A:$A,A46,'Production Data-Weekly input'!$G:$G),(SUMIF('Production Data-Daily Input'!$B:$B,"Total "&amp;A46,'Production Data-Daily Input'!$H:$H)*1000/7/F46)))</f>
        <v/>
      </c>
      <c r="W46" s="293" t="str">
        <f t="shared" si="3"/>
        <v/>
      </c>
      <c r="X46" s="293" t="str">
        <f>IF(W46&lt;&gt;"",W46/Data!F$37*1000/((A46-16)*7),"")</f>
        <v/>
      </c>
      <c r="Y46" s="400" t="str">
        <f t="shared" si="4"/>
        <v/>
      </c>
      <c r="Z46" s="294" t="str">
        <f>IF(F46="","",IF(OR(Q46=0,Q46=""),"",IF(W46&lt;&gt;0,W46/(Q46*Data!F$37/1000),"")))</f>
        <v/>
      </c>
      <c r="AA46" s="295" t="str">
        <f>IF(AND(U46=0,SUMIF('Production Data-Weekly input'!$A:$A,$A46,'Production Data-Weekly input'!$H:$H)=0,SUMIF('Production Data-Daily Input'!$B:$B,"Total "&amp;A46,'Production Data-Daily Input'!$I:$I)=0),"",IF(F46="","",IF(SUMIF('Production Data-Weekly input'!$A:$A,$A46,'Production Data-Weekly input'!$H:$H)&lt;&gt;0,SUMIF('Production Data-Weekly input'!$A:$A,$A46,'Production Data-Weekly input'!$H:$H)*7/U46,SUMIF('Production Data-Daily Input'!$B:$B,"Total "&amp;A46,'Production Data-Daily Input'!$I:$I)*7/U46)))</f>
        <v/>
      </c>
      <c r="AB46" s="278">
        <f>SUMIF('Production Data-Daily Input'!$B:$B,"Total "&amp;$A46,'Production Data-Daily Input'!$E:$E)</f>
        <v>0</v>
      </c>
      <c r="AC46" s="296" t="str">
        <f>IF(F46="","",IF(G46&lt;&gt;0,IF(AB46&lt;&gt;0,AB46/G46,'Production Data-Weekly input'!D43/100),""))</f>
        <v/>
      </c>
      <c r="AD46" s="275">
        <f>SUMIF('Production Data-Daily Input'!$B:$B,"Total "&amp;$A46,'Production Data-Daily Input'!$F:$F)</f>
        <v>0</v>
      </c>
      <c r="AE46" s="296" t="str">
        <f>IF(F46="","",IF(G46&lt;&gt;0,IF(AD46&lt;&gt;0,AD46/G46,'Production Data-Weekly input'!E43/100),""))</f>
        <v/>
      </c>
      <c r="AF46" s="275">
        <f t="shared" si="5"/>
        <v>0</v>
      </c>
      <c r="AG46" s="297" t="str">
        <f t="shared" si="7"/>
        <v/>
      </c>
      <c r="AH46" s="298" t="str">
        <f>IF(AND(SUMIF('Production Data-Daily Input'!$B:$B,"Total "&amp;A46,'Production Data-Daily Input'!$J:$J)=0,SUMIF('Production Data-Weekly input'!$A:$A,A46,'Production Data-Weekly input'!$I:$I)=0),"",IF(SUMIF('Production Data-Daily Input'!$B:$B,"Total "&amp;A46,'Production Data-Daily Input'!$J:$J)&lt;&gt;0,SUMIF('Production Data-Daily Input'!$B:$B,"Total "&amp;A46,'Production Data-Daily Input'!$J:$J),SUMIF('Production Data-Weekly input'!$A:$A,A46,'Production Data-Weekly input'!$I:$I)))</f>
        <v/>
      </c>
    </row>
    <row r="47" spans="1:34" s="299" customFormat="1" ht="24.95" customHeight="1" x14ac:dyDescent="0.25">
      <c r="A47" s="273">
        <f t="shared" si="2"/>
        <v>49</v>
      </c>
      <c r="B47" s="429" t="str">
        <f>'Production Data-Daily Input'!B262</f>
        <v/>
      </c>
      <c r="C47" s="274" t="str">
        <f>IF(IF(AND(SUMIF('Production Data-Daily Input'!$B:$B,"Total "&amp;$A47,'Production Data-Daily Input'!$C:$C)="",SUMIF('Production Data-Weekly input'!$A:$A,A47,'Production Data-Weekly input'!$B:$B)=""),"",IF(SUMIF('Production Data-Daily Input'!$B:$B,"Total "&amp;$A47,'Production Data-Daily Input'!$C:$C)&lt;&gt;0,SUMIF('Production Data-Daily Input'!$B:$B,"Total "&amp;$A47,'Production Data-Daily Input'!$C:$C),SUMIF('Production Data-Weekly input'!$A:$A,A47,'Production Data-Weekly input'!$B:$B)/100*Data!$F$37))=0,"",IF(AND(SUMIF('Production Data-Daily Input'!$B:$B,"Total "&amp;$A47,'Production Data-Daily Input'!$C:$C)="",SUMIF('Production Data-Weekly input'!$A:$A,A47,'Production Data-Weekly input'!$B:$B)=""),"",IF(SUMIF('Production Data-Daily Input'!$B:$B,"Total "&amp;$A47,'Production Data-Daily Input'!$C:$C)&lt;&gt;0,SUMIF('Production Data-Daily Input'!$B:$B,"Total "&amp;$A47,'Production Data-Daily Input'!$C:$C),SUMIF('Production Data-Weekly input'!$A:$A,A47,'Production Data-Weekly input'!$B:$B)/100*Data!$F$37)))</f>
        <v/>
      </c>
      <c r="D47" s="275" t="str">
        <f>IF(AND(SUM(C47:$C$88)=0,SUMIF('Production Data-Daily Input'!$B:$B,"Total "&amp;$A47,'Production Data-Daily Input'!$D:$D)=0,SUMIF('Production Data-Weekly input'!$A:$A,$A47,'Production Data-Weekly input'!$C:$C)=0),"",IF(C47="",D46,C47+D46))</f>
        <v/>
      </c>
      <c r="E47" s="276" t="str">
        <f>IF(F47="","",F47/Data!F$37)</f>
        <v/>
      </c>
      <c r="F47" s="277" t="str">
        <f>IF(D47="","",Data!$F$37-D47)</f>
        <v/>
      </c>
      <c r="G47" s="278" t="str">
        <f>IF(F47="","",IF(SUMIF('Production Data-Daily Input'!$B:$B,"Total "&amp;$A47,'Production Data-Daily Input'!$D:$D)&lt;&gt;0,SUMIF('Production Data-Daily Input'!$B:$B,"Total "&amp;$A47,'Production Data-Daily Input'!$D:$D),IF(SUMIF('Production Data-Weekly input'!$A:$A,$A47,'Production Data-Weekly input'!$C:$C)=0,0,SUMIF('Production Data-Weekly input'!$A:$A,$A47,'Production Data-Weekly input'!$C:$C)/100*7*$F47)))</f>
        <v/>
      </c>
      <c r="H47" s="279" t="str">
        <f>IF(AND(G47="",'Production Data-Weekly input'!C44=""),"",IF(G47="",'Production Data-Weekly input'!C44,G47/F47/7*100))</f>
        <v/>
      </c>
      <c r="I47" s="300" t="str">
        <f>Standard!D39</f>
        <v/>
      </c>
      <c r="J47" s="275">
        <f t="shared" si="6"/>
        <v>0</v>
      </c>
      <c r="K47" s="281" t="str">
        <f>IF(H47="","",J47/Data!F$37)</f>
        <v/>
      </c>
      <c r="L47" s="301" t="str">
        <f>Standard!F39</f>
        <v/>
      </c>
      <c r="M47" s="283" t="str">
        <f>IF(IF(SUMIF('Production Data-Daily Input'!$B:$B,"Total "&amp;$A47,'Production Data-Daily Input'!$G:$G)&lt;&gt;0,SUMIF('Production Data-Daily Input'!$B:$B,"Total "&amp;$A47,'Production Data-Daily Input'!$G:$G),IF(SUMIF('Production Data-Weekly input'!$A:$A,$A47,'Production Data-Weekly input'!$F:$F)="","",SUMIF('Production Data-Weekly input'!$A:$A,$A47,'Production Data-Weekly input'!$F:$F)))=0,"",IF(SUMIF('Production Data-Daily Input'!$B:$B,"Total "&amp;$A47,'Production Data-Daily Input'!$G:$G)&lt;&gt;0,SUMIF('Production Data-Daily Input'!$B:$B,"Total "&amp;$A47,'Production Data-Daily Input'!$G:$G),IF(SUMIF('Production Data-Weekly input'!$A:$A,$A47,'Production Data-Weekly input'!$F:$F)="","",SUMIF('Production Data-Weekly input'!$A:$A,$A47,'Production Data-Weekly input'!$F:$F))))</f>
        <v/>
      </c>
      <c r="N47" s="302" t="str">
        <f>Standard!G39</f>
        <v/>
      </c>
      <c r="O47" s="285" t="str">
        <f t="shared" ref="O47:O78" si="8">IF(M47="","",IF(G47="","",IF(AND(H47=0,M47=""),"",IF(H47=0,(I47*F47*7/100)*M47/$V$6,IF(M47&lt;&gt;"",(M47*G47)/$V$6,IF(M47="",(N47*G47)/$V$6))))))</f>
        <v/>
      </c>
      <c r="P47" s="303" t="str">
        <f>Standard!H39</f>
        <v/>
      </c>
      <c r="Q47" s="287" t="str">
        <f>IF(Q46="","",IF(AND(H47="",Q46=""),"",IF(O47="","",IF(M47="",IF(Q46="",0,Q46),(M47*H47/100*7*F47/Data!F$37)+IF(Q46="",0,Q46)))))</f>
        <v/>
      </c>
      <c r="R47" s="288" t="str">
        <f>Standard!I39</f>
        <v/>
      </c>
      <c r="S47" s="289" t="str">
        <f>IF(AND(F47="",Q47=""),"",IF(J47&lt;&gt;"",IF(Q47="","",Q47*Data!F$37/J47),""))</f>
        <v/>
      </c>
      <c r="T47" s="290" t="str">
        <f>Standard!J39</f>
        <v/>
      </c>
      <c r="U47" s="291" t="str">
        <f t="shared" si="1"/>
        <v/>
      </c>
      <c r="V47" s="292" t="str">
        <f>IF(F47="","",IF(SUMIF('Production Data-Weekly input'!$A:$A,A47,'Production Data-Weekly input'!$G:$G)&lt;&gt;0,SUMIF('Production Data-Weekly input'!$A:$A,A47,'Production Data-Weekly input'!$G:$G),(SUMIF('Production Data-Daily Input'!$B:$B,"Total "&amp;A47,'Production Data-Daily Input'!$H:$H)*1000/7/F47)))</f>
        <v/>
      </c>
      <c r="W47" s="293" t="str">
        <f t="shared" si="3"/>
        <v/>
      </c>
      <c r="X47" s="293" t="str">
        <f>IF(W47&lt;&gt;"",W47/Data!F$37*1000/((A47-16)*7),"")</f>
        <v/>
      </c>
      <c r="Y47" s="400" t="str">
        <f t="shared" ref="Y47:Y78" si="9">IF(F47="","",IF(OR(J47="",J47=0),"",IF(W47=0,0,W47/J47*1000)))</f>
        <v/>
      </c>
      <c r="Z47" s="294" t="str">
        <f>IF(F47="","",IF(OR(Q47=0,Q47=""),"",IF(W47&lt;&gt;0,W47/(Q47*Data!F$37/1000),"")))</f>
        <v/>
      </c>
      <c r="AA47" s="295" t="str">
        <f>IF(AND(U47=0,SUMIF('Production Data-Weekly input'!$A:$A,$A47,'Production Data-Weekly input'!$H:$H)=0,SUMIF('Production Data-Daily Input'!$B:$B,"Total "&amp;A47,'Production Data-Daily Input'!$I:$I)=0),"",IF(F47="","",IF(SUMIF('Production Data-Weekly input'!$A:$A,$A47,'Production Data-Weekly input'!$H:$H)&lt;&gt;0,SUMIF('Production Data-Weekly input'!$A:$A,$A47,'Production Data-Weekly input'!$H:$H)*7/U47,SUMIF('Production Data-Daily Input'!$B:$B,"Total "&amp;A47,'Production Data-Daily Input'!$I:$I)*7/U47)))</f>
        <v/>
      </c>
      <c r="AB47" s="278">
        <f>SUMIF('Production Data-Daily Input'!$B:$B,"Total "&amp;$A47,'Production Data-Daily Input'!$E:$E)</f>
        <v>0</v>
      </c>
      <c r="AC47" s="296" t="str">
        <f>IF(F47="","",IF(G47&lt;&gt;0,IF(AB47&lt;&gt;0,AB47/G47,'Production Data-Weekly input'!D44/100),""))</f>
        <v/>
      </c>
      <c r="AD47" s="275">
        <f>SUMIF('Production Data-Daily Input'!$B:$B,"Total "&amp;$A47,'Production Data-Daily Input'!$F:$F)</f>
        <v>0</v>
      </c>
      <c r="AE47" s="296" t="str">
        <f>IF(F47="","",IF(G47&lt;&gt;0,IF(AD47&lt;&gt;0,AD47/G47,'Production Data-Weekly input'!E44/100),""))</f>
        <v/>
      </c>
      <c r="AF47" s="275">
        <f t="shared" si="5"/>
        <v>0</v>
      </c>
      <c r="AG47" s="297" t="str">
        <f t="shared" si="7"/>
        <v/>
      </c>
      <c r="AH47" s="298" t="str">
        <f>IF(AND(SUMIF('Production Data-Daily Input'!$B:$B,"Total "&amp;A47,'Production Data-Daily Input'!$J:$J)=0,SUMIF('Production Data-Weekly input'!$A:$A,A47,'Production Data-Weekly input'!$I:$I)=0),"",IF(SUMIF('Production Data-Daily Input'!$B:$B,"Total "&amp;A47,'Production Data-Daily Input'!$J:$J)&lt;&gt;0,SUMIF('Production Data-Daily Input'!$B:$B,"Total "&amp;A47,'Production Data-Daily Input'!$J:$J),SUMIF('Production Data-Weekly input'!$A:$A,A47,'Production Data-Weekly input'!$I:$I)))</f>
        <v/>
      </c>
    </row>
    <row r="48" spans="1:34" s="299" customFormat="1" ht="24.95" customHeight="1" x14ac:dyDescent="0.25">
      <c r="A48" s="273">
        <f t="shared" si="2"/>
        <v>50</v>
      </c>
      <c r="B48" s="429" t="str">
        <f>'Production Data-Daily Input'!B270</f>
        <v/>
      </c>
      <c r="C48" s="274" t="str">
        <f>IF(IF(AND(SUMIF('Production Data-Daily Input'!$B:$B,"Total "&amp;$A48,'Production Data-Daily Input'!$C:$C)="",SUMIF('Production Data-Weekly input'!$A:$A,A48,'Production Data-Weekly input'!$B:$B)=""),"",IF(SUMIF('Production Data-Daily Input'!$B:$B,"Total "&amp;$A48,'Production Data-Daily Input'!$C:$C)&lt;&gt;0,SUMIF('Production Data-Daily Input'!$B:$B,"Total "&amp;$A48,'Production Data-Daily Input'!$C:$C),SUMIF('Production Data-Weekly input'!$A:$A,A48,'Production Data-Weekly input'!$B:$B)/100*Data!$F$37))=0,"",IF(AND(SUMIF('Production Data-Daily Input'!$B:$B,"Total "&amp;$A48,'Production Data-Daily Input'!$C:$C)="",SUMIF('Production Data-Weekly input'!$A:$A,A48,'Production Data-Weekly input'!$B:$B)=""),"",IF(SUMIF('Production Data-Daily Input'!$B:$B,"Total "&amp;$A48,'Production Data-Daily Input'!$C:$C)&lt;&gt;0,SUMIF('Production Data-Daily Input'!$B:$B,"Total "&amp;$A48,'Production Data-Daily Input'!$C:$C),SUMIF('Production Data-Weekly input'!$A:$A,A48,'Production Data-Weekly input'!$B:$B)/100*Data!$F$37)))</f>
        <v/>
      </c>
      <c r="D48" s="275" t="str">
        <f>IF(AND(SUM(C48:$C$88)=0,SUMIF('Production Data-Daily Input'!$B:$B,"Total "&amp;$A48,'Production Data-Daily Input'!$D:$D)=0,SUMIF('Production Data-Weekly input'!$A:$A,$A48,'Production Data-Weekly input'!$C:$C)=0),"",IF(C48="",D47,C48+D47))</f>
        <v/>
      </c>
      <c r="E48" s="276" t="str">
        <f>IF(F48="","",F48/Data!F$37)</f>
        <v/>
      </c>
      <c r="F48" s="277" t="str">
        <f>IF(D48="","",Data!$F$37-D48)</f>
        <v/>
      </c>
      <c r="G48" s="278" t="str">
        <f>IF(F48="","",IF(SUMIF('Production Data-Daily Input'!$B:$B,"Total "&amp;$A48,'Production Data-Daily Input'!$D:$D)&lt;&gt;0,SUMIF('Production Data-Daily Input'!$B:$B,"Total "&amp;$A48,'Production Data-Daily Input'!$D:$D),IF(SUMIF('Production Data-Weekly input'!$A:$A,$A48,'Production Data-Weekly input'!$C:$C)=0,0,SUMIF('Production Data-Weekly input'!$A:$A,$A48,'Production Data-Weekly input'!$C:$C)/100*7*$F48)))</f>
        <v/>
      </c>
      <c r="H48" s="279" t="str">
        <f>IF(AND(G48="",'Production Data-Weekly input'!C45=""),"",IF(G48="",'Production Data-Weekly input'!C45,G48/F48/7*100))</f>
        <v/>
      </c>
      <c r="I48" s="300" t="str">
        <f>Standard!D40</f>
        <v/>
      </c>
      <c r="J48" s="275">
        <f t="shared" si="6"/>
        <v>0</v>
      </c>
      <c r="K48" s="281" t="str">
        <f>IF(H48="","",J48/Data!F$37)</f>
        <v/>
      </c>
      <c r="L48" s="301" t="str">
        <f>Standard!F40</f>
        <v/>
      </c>
      <c r="M48" s="283" t="str">
        <f>IF(IF(SUMIF('Production Data-Daily Input'!$B:$B,"Total "&amp;$A48,'Production Data-Daily Input'!$G:$G)&lt;&gt;0,SUMIF('Production Data-Daily Input'!$B:$B,"Total "&amp;$A48,'Production Data-Daily Input'!$G:$G),IF(SUMIF('Production Data-Weekly input'!$A:$A,$A48,'Production Data-Weekly input'!$F:$F)="","",SUMIF('Production Data-Weekly input'!$A:$A,$A48,'Production Data-Weekly input'!$F:$F)))=0,"",IF(SUMIF('Production Data-Daily Input'!$B:$B,"Total "&amp;$A48,'Production Data-Daily Input'!$G:$G)&lt;&gt;0,SUMIF('Production Data-Daily Input'!$B:$B,"Total "&amp;$A48,'Production Data-Daily Input'!$G:$G),IF(SUMIF('Production Data-Weekly input'!$A:$A,$A48,'Production Data-Weekly input'!$F:$F)="","",SUMIF('Production Data-Weekly input'!$A:$A,$A48,'Production Data-Weekly input'!$F:$F))))</f>
        <v/>
      </c>
      <c r="N48" s="302" t="str">
        <f>Standard!G40</f>
        <v/>
      </c>
      <c r="O48" s="285" t="str">
        <f t="shared" si="8"/>
        <v/>
      </c>
      <c r="P48" s="303" t="str">
        <f>Standard!H40</f>
        <v/>
      </c>
      <c r="Q48" s="287" t="str">
        <f>IF(Q47="","",IF(AND(H48="",Q47=""),"",IF(O48="","",IF(M48="",IF(Q47="",0,Q47),(M48*H48/100*7*F48/Data!F$37)+IF(Q47="",0,Q47)))))</f>
        <v/>
      </c>
      <c r="R48" s="288" t="str">
        <f>Standard!I40</f>
        <v/>
      </c>
      <c r="S48" s="289" t="str">
        <f>IF(AND(F48="",Q48=""),"",IF(J48&lt;&gt;"",IF(Q48="","",Q48*Data!F$37/J48),""))</f>
        <v/>
      </c>
      <c r="T48" s="290" t="str">
        <f>Standard!J40</f>
        <v/>
      </c>
      <c r="U48" s="291" t="str">
        <f t="shared" si="1"/>
        <v/>
      </c>
      <c r="V48" s="292" t="str">
        <f>IF(F48="","",IF(SUMIF('Production Data-Weekly input'!$A:$A,A48,'Production Data-Weekly input'!$G:$G)&lt;&gt;0,SUMIF('Production Data-Weekly input'!$A:$A,A48,'Production Data-Weekly input'!$G:$G),(SUMIF('Production Data-Daily Input'!$B:$B,"Total "&amp;A48,'Production Data-Daily Input'!$H:$H)*1000/7/F48)))</f>
        <v/>
      </c>
      <c r="W48" s="293" t="str">
        <f t="shared" si="3"/>
        <v/>
      </c>
      <c r="X48" s="293" t="str">
        <f>IF(W48&lt;&gt;"",W48/Data!F$37*1000/((A48-16)*7),"")</f>
        <v/>
      </c>
      <c r="Y48" s="400" t="str">
        <f t="shared" si="9"/>
        <v/>
      </c>
      <c r="Z48" s="294" t="str">
        <f>IF(F48="","",IF(OR(Q48=0,Q48=""),"",IF(W48&lt;&gt;0,W48/(Q48*Data!F$37/1000),"")))</f>
        <v/>
      </c>
      <c r="AA48" s="295" t="str">
        <f>IF(AND(U48=0,SUMIF('Production Data-Weekly input'!$A:$A,$A48,'Production Data-Weekly input'!$H:$H)=0,SUMIF('Production Data-Daily Input'!$B:$B,"Total "&amp;A48,'Production Data-Daily Input'!$I:$I)=0),"",IF(F48="","",IF(SUMIF('Production Data-Weekly input'!$A:$A,$A48,'Production Data-Weekly input'!$H:$H)&lt;&gt;0,SUMIF('Production Data-Weekly input'!$A:$A,$A48,'Production Data-Weekly input'!$H:$H)*7/U48,SUMIF('Production Data-Daily Input'!$B:$B,"Total "&amp;A48,'Production Data-Daily Input'!$I:$I)*7/U48)))</f>
        <v/>
      </c>
      <c r="AB48" s="278">
        <f>SUMIF('Production Data-Daily Input'!$B:$B,"Total "&amp;$A48,'Production Data-Daily Input'!$E:$E)</f>
        <v>0</v>
      </c>
      <c r="AC48" s="296" t="str">
        <f>IF(F48="","",IF(G48&lt;&gt;0,IF(AB48&lt;&gt;0,AB48/G48,'Production Data-Weekly input'!D45/100),""))</f>
        <v/>
      </c>
      <c r="AD48" s="275">
        <f>SUMIF('Production Data-Daily Input'!$B:$B,"Total "&amp;$A48,'Production Data-Daily Input'!$F:$F)</f>
        <v>0</v>
      </c>
      <c r="AE48" s="296" t="str">
        <f>IF(F48="","",IF(G48&lt;&gt;0,IF(AD48&lt;&gt;0,AD48/G48,'Production Data-Weekly input'!E45/100),""))</f>
        <v/>
      </c>
      <c r="AF48" s="275">
        <f t="shared" si="5"/>
        <v>0</v>
      </c>
      <c r="AG48" s="297" t="str">
        <f t="shared" si="7"/>
        <v/>
      </c>
      <c r="AH48" s="298" t="str">
        <f>IF(AND(SUMIF('Production Data-Daily Input'!$B:$B,"Total "&amp;A48,'Production Data-Daily Input'!$J:$J)=0,SUMIF('Production Data-Weekly input'!$A:$A,A48,'Production Data-Weekly input'!$I:$I)=0),"",IF(SUMIF('Production Data-Daily Input'!$B:$B,"Total "&amp;A48,'Production Data-Daily Input'!$J:$J)&lt;&gt;0,SUMIF('Production Data-Daily Input'!$B:$B,"Total "&amp;A48,'Production Data-Daily Input'!$J:$J),SUMIF('Production Data-Weekly input'!$A:$A,A48,'Production Data-Weekly input'!$I:$I)))</f>
        <v/>
      </c>
    </row>
    <row r="49" spans="1:34" s="299" customFormat="1" ht="24.95" customHeight="1" x14ac:dyDescent="0.25">
      <c r="A49" s="273">
        <f t="shared" si="2"/>
        <v>51</v>
      </c>
      <c r="B49" s="429" t="str">
        <f>'Production Data-Daily Input'!B278</f>
        <v/>
      </c>
      <c r="C49" s="274" t="str">
        <f>IF(IF(AND(SUMIF('Production Data-Daily Input'!$B:$B,"Total "&amp;$A49,'Production Data-Daily Input'!$C:$C)="",SUMIF('Production Data-Weekly input'!$A:$A,A49,'Production Data-Weekly input'!$B:$B)=""),"",IF(SUMIF('Production Data-Daily Input'!$B:$B,"Total "&amp;$A49,'Production Data-Daily Input'!$C:$C)&lt;&gt;0,SUMIF('Production Data-Daily Input'!$B:$B,"Total "&amp;$A49,'Production Data-Daily Input'!$C:$C),SUMIF('Production Data-Weekly input'!$A:$A,A49,'Production Data-Weekly input'!$B:$B)/100*Data!$F$37))=0,"",IF(AND(SUMIF('Production Data-Daily Input'!$B:$B,"Total "&amp;$A49,'Production Data-Daily Input'!$C:$C)="",SUMIF('Production Data-Weekly input'!$A:$A,A49,'Production Data-Weekly input'!$B:$B)=""),"",IF(SUMIF('Production Data-Daily Input'!$B:$B,"Total "&amp;$A49,'Production Data-Daily Input'!$C:$C)&lt;&gt;0,SUMIF('Production Data-Daily Input'!$B:$B,"Total "&amp;$A49,'Production Data-Daily Input'!$C:$C),SUMIF('Production Data-Weekly input'!$A:$A,A49,'Production Data-Weekly input'!$B:$B)/100*Data!$F$37)))</f>
        <v/>
      </c>
      <c r="D49" s="275" t="str">
        <f>IF(AND(SUM(C49:$C$88)=0,SUMIF('Production Data-Daily Input'!$B:$B,"Total "&amp;$A49,'Production Data-Daily Input'!$D:$D)=0,SUMIF('Production Data-Weekly input'!$A:$A,$A49,'Production Data-Weekly input'!$C:$C)=0),"",IF(C49="",D48,C49+D48))</f>
        <v/>
      </c>
      <c r="E49" s="276" t="str">
        <f>IF(F49="","",F49/Data!F$37)</f>
        <v/>
      </c>
      <c r="F49" s="277" t="str">
        <f>IF(D49="","",Data!$F$37-D49)</f>
        <v/>
      </c>
      <c r="G49" s="278" t="str">
        <f>IF(F49="","",IF(SUMIF('Production Data-Daily Input'!$B:$B,"Total "&amp;$A49,'Production Data-Daily Input'!$D:$D)&lt;&gt;0,SUMIF('Production Data-Daily Input'!$B:$B,"Total "&amp;$A49,'Production Data-Daily Input'!$D:$D),IF(SUMIF('Production Data-Weekly input'!$A:$A,$A49,'Production Data-Weekly input'!$C:$C)=0,0,SUMIF('Production Data-Weekly input'!$A:$A,$A49,'Production Data-Weekly input'!$C:$C)/100*7*$F49)))</f>
        <v/>
      </c>
      <c r="H49" s="279" t="str">
        <f>IF(AND(G49="",'Production Data-Weekly input'!C46=""),"",IF(G49="",'Production Data-Weekly input'!C46,G49/F49/7*100))</f>
        <v/>
      </c>
      <c r="I49" s="300" t="str">
        <f>Standard!D41</f>
        <v/>
      </c>
      <c r="J49" s="275">
        <f t="shared" si="6"/>
        <v>0</v>
      </c>
      <c r="K49" s="281" t="str">
        <f>IF(H49="","",J49/Data!F$37)</f>
        <v/>
      </c>
      <c r="L49" s="301" t="str">
        <f>Standard!F41</f>
        <v/>
      </c>
      <c r="M49" s="283" t="str">
        <f>IF(IF(SUMIF('Production Data-Daily Input'!$B:$B,"Total "&amp;$A49,'Production Data-Daily Input'!$G:$G)&lt;&gt;0,SUMIF('Production Data-Daily Input'!$B:$B,"Total "&amp;$A49,'Production Data-Daily Input'!$G:$G),IF(SUMIF('Production Data-Weekly input'!$A:$A,$A49,'Production Data-Weekly input'!$F:$F)="","",SUMIF('Production Data-Weekly input'!$A:$A,$A49,'Production Data-Weekly input'!$F:$F)))=0,"",IF(SUMIF('Production Data-Daily Input'!$B:$B,"Total "&amp;$A49,'Production Data-Daily Input'!$G:$G)&lt;&gt;0,SUMIF('Production Data-Daily Input'!$B:$B,"Total "&amp;$A49,'Production Data-Daily Input'!$G:$G),IF(SUMIF('Production Data-Weekly input'!$A:$A,$A49,'Production Data-Weekly input'!$F:$F)="","",SUMIF('Production Data-Weekly input'!$A:$A,$A49,'Production Data-Weekly input'!$F:$F))))</f>
        <v/>
      </c>
      <c r="N49" s="302" t="str">
        <f>Standard!G41</f>
        <v/>
      </c>
      <c r="O49" s="285" t="str">
        <f t="shared" si="8"/>
        <v/>
      </c>
      <c r="P49" s="303" t="str">
        <f>Standard!H41</f>
        <v/>
      </c>
      <c r="Q49" s="287" t="str">
        <f>IF(Q48="","",IF(AND(H49="",Q48=""),"",IF(O49="","",IF(M49="",IF(Q48="",0,Q48),(M49*H49/100*7*F49/Data!F$37)+IF(Q48="",0,Q48)))))</f>
        <v/>
      </c>
      <c r="R49" s="288" t="str">
        <f>Standard!I41</f>
        <v/>
      </c>
      <c r="S49" s="289" t="str">
        <f>IF(AND(F49="",Q49=""),"",IF(J49&lt;&gt;"",IF(Q49="","",Q49*Data!F$37/J49),""))</f>
        <v/>
      </c>
      <c r="T49" s="290" t="str">
        <f>Standard!J41</f>
        <v/>
      </c>
      <c r="U49" s="291" t="str">
        <f t="shared" si="1"/>
        <v/>
      </c>
      <c r="V49" s="292" t="str">
        <f>IF(F49="","",IF(SUMIF('Production Data-Weekly input'!$A:$A,A49,'Production Data-Weekly input'!$G:$G)&lt;&gt;0,SUMIF('Production Data-Weekly input'!$A:$A,A49,'Production Data-Weekly input'!$G:$G),(SUMIF('Production Data-Daily Input'!$B:$B,"Total "&amp;A49,'Production Data-Daily Input'!$H:$H)*1000/7/F49)))</f>
        <v/>
      </c>
      <c r="W49" s="293" t="str">
        <f t="shared" si="3"/>
        <v/>
      </c>
      <c r="X49" s="293" t="str">
        <f>IF(W49&lt;&gt;"",W49/Data!F$37*1000/((A49-16)*7),"")</f>
        <v/>
      </c>
      <c r="Y49" s="400" t="str">
        <f t="shared" si="9"/>
        <v/>
      </c>
      <c r="Z49" s="294" t="str">
        <f>IF(F49="","",IF(OR(Q49=0,Q49=""),"",IF(W49&lt;&gt;0,W49/(Q49*Data!F$37/1000),"")))</f>
        <v/>
      </c>
      <c r="AA49" s="295" t="str">
        <f>IF(AND(U49=0,SUMIF('Production Data-Weekly input'!$A:$A,$A49,'Production Data-Weekly input'!$H:$H)=0,SUMIF('Production Data-Daily Input'!$B:$B,"Total "&amp;A49,'Production Data-Daily Input'!$I:$I)=0),"",IF(F49="","",IF(SUMIF('Production Data-Weekly input'!$A:$A,$A49,'Production Data-Weekly input'!$H:$H)&lt;&gt;0,SUMIF('Production Data-Weekly input'!$A:$A,$A49,'Production Data-Weekly input'!$H:$H)*7/U49,SUMIF('Production Data-Daily Input'!$B:$B,"Total "&amp;A49,'Production Data-Daily Input'!$I:$I)*7/U49)))</f>
        <v/>
      </c>
      <c r="AB49" s="278">
        <f>SUMIF('Production Data-Daily Input'!$B:$B,"Total "&amp;$A49,'Production Data-Daily Input'!$E:$E)</f>
        <v>0</v>
      </c>
      <c r="AC49" s="296" t="str">
        <f>IF(F49="","",IF(G49&lt;&gt;0,IF(AB49&lt;&gt;0,AB49/G49,'Production Data-Weekly input'!D46/100),""))</f>
        <v/>
      </c>
      <c r="AD49" s="275">
        <f>SUMIF('Production Data-Daily Input'!$B:$B,"Total "&amp;$A49,'Production Data-Daily Input'!$F:$F)</f>
        <v>0</v>
      </c>
      <c r="AE49" s="296" t="str">
        <f>IF(F49="","",IF(G49&lt;&gt;0,IF(AD49&lt;&gt;0,AD49/G49,'Production Data-Weekly input'!E46/100),""))</f>
        <v/>
      </c>
      <c r="AF49" s="275">
        <f t="shared" si="5"/>
        <v>0</v>
      </c>
      <c r="AG49" s="297" t="str">
        <f t="shared" si="7"/>
        <v/>
      </c>
      <c r="AH49" s="298" t="str">
        <f>IF(AND(SUMIF('Production Data-Daily Input'!$B:$B,"Total "&amp;A49,'Production Data-Daily Input'!$J:$J)=0,SUMIF('Production Data-Weekly input'!$A:$A,A49,'Production Data-Weekly input'!$I:$I)=0),"",IF(SUMIF('Production Data-Daily Input'!$B:$B,"Total "&amp;A49,'Production Data-Daily Input'!$J:$J)&lt;&gt;0,SUMIF('Production Data-Daily Input'!$B:$B,"Total "&amp;A49,'Production Data-Daily Input'!$J:$J),SUMIF('Production Data-Weekly input'!$A:$A,A49,'Production Data-Weekly input'!$I:$I)))</f>
        <v/>
      </c>
    </row>
    <row r="50" spans="1:34" s="299" customFormat="1" ht="24.95" customHeight="1" x14ac:dyDescent="0.25">
      <c r="A50" s="273">
        <f t="shared" si="2"/>
        <v>52</v>
      </c>
      <c r="B50" s="429" t="str">
        <f>'Production Data-Daily Input'!B286</f>
        <v/>
      </c>
      <c r="C50" s="274" t="str">
        <f>IF(IF(AND(SUMIF('Production Data-Daily Input'!$B:$B,"Total "&amp;$A50,'Production Data-Daily Input'!$C:$C)="",SUMIF('Production Data-Weekly input'!$A:$A,A50,'Production Data-Weekly input'!$B:$B)=""),"",IF(SUMIF('Production Data-Daily Input'!$B:$B,"Total "&amp;$A50,'Production Data-Daily Input'!$C:$C)&lt;&gt;0,SUMIF('Production Data-Daily Input'!$B:$B,"Total "&amp;$A50,'Production Data-Daily Input'!$C:$C),SUMIF('Production Data-Weekly input'!$A:$A,A50,'Production Data-Weekly input'!$B:$B)/100*Data!$F$37))=0,"",IF(AND(SUMIF('Production Data-Daily Input'!$B:$B,"Total "&amp;$A50,'Production Data-Daily Input'!$C:$C)="",SUMIF('Production Data-Weekly input'!$A:$A,A50,'Production Data-Weekly input'!$B:$B)=""),"",IF(SUMIF('Production Data-Daily Input'!$B:$B,"Total "&amp;$A50,'Production Data-Daily Input'!$C:$C)&lt;&gt;0,SUMIF('Production Data-Daily Input'!$B:$B,"Total "&amp;$A50,'Production Data-Daily Input'!$C:$C),SUMIF('Production Data-Weekly input'!$A:$A,A50,'Production Data-Weekly input'!$B:$B)/100*Data!$F$37)))</f>
        <v/>
      </c>
      <c r="D50" s="275" t="str">
        <f>IF(AND(SUM(C50:$C$88)=0,SUMIF('Production Data-Daily Input'!$B:$B,"Total "&amp;$A50,'Production Data-Daily Input'!$D:$D)=0,SUMIF('Production Data-Weekly input'!$A:$A,$A50,'Production Data-Weekly input'!$C:$C)=0),"",IF(C50="",D49,C50+D49))</f>
        <v/>
      </c>
      <c r="E50" s="276" t="str">
        <f>IF(F50="","",F50/Data!F$37)</f>
        <v/>
      </c>
      <c r="F50" s="277" t="str">
        <f>IF(D50="","",Data!$F$37-D50)</f>
        <v/>
      </c>
      <c r="G50" s="278" t="str">
        <f>IF(F50="","",IF(SUMIF('Production Data-Daily Input'!$B:$B,"Total "&amp;$A50,'Production Data-Daily Input'!$D:$D)&lt;&gt;0,SUMIF('Production Data-Daily Input'!$B:$B,"Total "&amp;$A50,'Production Data-Daily Input'!$D:$D),IF(SUMIF('Production Data-Weekly input'!$A:$A,$A50,'Production Data-Weekly input'!$C:$C)=0,0,SUMIF('Production Data-Weekly input'!$A:$A,$A50,'Production Data-Weekly input'!$C:$C)/100*7*$F50)))</f>
        <v/>
      </c>
      <c r="H50" s="279" t="str">
        <f>IF(AND(G50="",'Production Data-Weekly input'!C47=""),"",IF(G50="",'Production Data-Weekly input'!C47,G50/F50/7*100))</f>
        <v/>
      </c>
      <c r="I50" s="300" t="str">
        <f>Standard!D42</f>
        <v/>
      </c>
      <c r="J50" s="275">
        <f t="shared" si="6"/>
        <v>0</v>
      </c>
      <c r="K50" s="281" t="str">
        <f>IF(H50="","",J50/Data!F$37)</f>
        <v/>
      </c>
      <c r="L50" s="301" t="str">
        <f>Standard!F42</f>
        <v/>
      </c>
      <c r="M50" s="283" t="str">
        <f>IF(IF(SUMIF('Production Data-Daily Input'!$B:$B,"Total "&amp;$A50,'Production Data-Daily Input'!$G:$G)&lt;&gt;0,SUMIF('Production Data-Daily Input'!$B:$B,"Total "&amp;$A50,'Production Data-Daily Input'!$G:$G),IF(SUMIF('Production Data-Weekly input'!$A:$A,$A50,'Production Data-Weekly input'!$F:$F)="","",SUMIF('Production Data-Weekly input'!$A:$A,$A50,'Production Data-Weekly input'!$F:$F)))=0,"",IF(SUMIF('Production Data-Daily Input'!$B:$B,"Total "&amp;$A50,'Production Data-Daily Input'!$G:$G)&lt;&gt;0,SUMIF('Production Data-Daily Input'!$B:$B,"Total "&amp;$A50,'Production Data-Daily Input'!$G:$G),IF(SUMIF('Production Data-Weekly input'!$A:$A,$A50,'Production Data-Weekly input'!$F:$F)="","",SUMIF('Production Data-Weekly input'!$A:$A,$A50,'Production Data-Weekly input'!$F:$F))))</f>
        <v/>
      </c>
      <c r="N50" s="302" t="str">
        <f>Standard!G42</f>
        <v/>
      </c>
      <c r="O50" s="285" t="str">
        <f t="shared" si="8"/>
        <v/>
      </c>
      <c r="P50" s="303" t="str">
        <f>Standard!H42</f>
        <v/>
      </c>
      <c r="Q50" s="287" t="str">
        <f>IF(Q49="","",IF(AND(H50="",Q49=""),"",IF(O50="","",IF(M50="",IF(Q49="",0,Q49),(M50*H50/100*7*F50/Data!F$37)+IF(Q49="",0,Q49)))))</f>
        <v/>
      </c>
      <c r="R50" s="288" t="str">
        <f>Standard!I42</f>
        <v/>
      </c>
      <c r="S50" s="289" t="str">
        <f>IF(AND(F50="",Q50=""),"",IF(J50&lt;&gt;"",IF(Q50="","",Q50*Data!F$37/J50),""))</f>
        <v/>
      </c>
      <c r="T50" s="290" t="str">
        <f>Standard!J42</f>
        <v/>
      </c>
      <c r="U50" s="291" t="str">
        <f t="shared" si="1"/>
        <v/>
      </c>
      <c r="V50" s="292" t="str">
        <f>IF(F50="","",IF(SUMIF('Production Data-Weekly input'!$A:$A,A50,'Production Data-Weekly input'!$G:$G)&lt;&gt;0,SUMIF('Production Data-Weekly input'!$A:$A,A50,'Production Data-Weekly input'!$G:$G),(SUMIF('Production Data-Daily Input'!$B:$B,"Total "&amp;A50,'Production Data-Daily Input'!$H:$H)*1000/7/F50)))</f>
        <v/>
      </c>
      <c r="W50" s="293" t="str">
        <f t="shared" si="3"/>
        <v/>
      </c>
      <c r="X50" s="293" t="str">
        <f>IF(W50&lt;&gt;"",W50/Data!F$37*1000/((A50-16)*7),"")</f>
        <v/>
      </c>
      <c r="Y50" s="400" t="str">
        <f t="shared" si="9"/>
        <v/>
      </c>
      <c r="Z50" s="294" t="str">
        <f>IF(F50="","",IF(OR(Q50=0,Q50=""),"",IF(W50&lt;&gt;0,W50/(Q50*Data!F$37/1000),"")))</f>
        <v/>
      </c>
      <c r="AA50" s="295" t="str">
        <f>IF(AND(U50=0,SUMIF('Production Data-Weekly input'!$A:$A,$A50,'Production Data-Weekly input'!$H:$H)=0,SUMIF('Production Data-Daily Input'!$B:$B,"Total "&amp;A50,'Production Data-Daily Input'!$I:$I)=0),"",IF(F50="","",IF(SUMIF('Production Data-Weekly input'!$A:$A,$A50,'Production Data-Weekly input'!$H:$H)&lt;&gt;0,SUMIF('Production Data-Weekly input'!$A:$A,$A50,'Production Data-Weekly input'!$H:$H)*7/U50,SUMIF('Production Data-Daily Input'!$B:$B,"Total "&amp;A50,'Production Data-Daily Input'!$I:$I)*7/U50)))</f>
        <v/>
      </c>
      <c r="AB50" s="278">
        <f>SUMIF('Production Data-Daily Input'!$B:$B,"Total "&amp;$A50,'Production Data-Daily Input'!$E:$E)</f>
        <v>0</v>
      </c>
      <c r="AC50" s="296" t="str">
        <f>IF(F50="","",IF(G50&lt;&gt;0,IF(AB50&lt;&gt;0,AB50/G50,'Production Data-Weekly input'!D47/100),""))</f>
        <v/>
      </c>
      <c r="AD50" s="275">
        <f>SUMIF('Production Data-Daily Input'!$B:$B,"Total "&amp;$A50,'Production Data-Daily Input'!$F:$F)</f>
        <v>0</v>
      </c>
      <c r="AE50" s="296" t="str">
        <f>IF(F50="","",IF(G50&lt;&gt;0,IF(AD50&lt;&gt;0,AD50/G50,'Production Data-Weekly input'!E47/100),""))</f>
        <v/>
      </c>
      <c r="AF50" s="275">
        <f t="shared" si="5"/>
        <v>0</v>
      </c>
      <c r="AG50" s="297" t="str">
        <f t="shared" si="7"/>
        <v/>
      </c>
      <c r="AH50" s="298" t="str">
        <f>IF(AND(SUMIF('Production Data-Daily Input'!$B:$B,"Total "&amp;A50,'Production Data-Daily Input'!$J:$J)=0,SUMIF('Production Data-Weekly input'!$A:$A,A50,'Production Data-Weekly input'!$I:$I)=0),"",IF(SUMIF('Production Data-Daily Input'!$B:$B,"Total "&amp;A50,'Production Data-Daily Input'!$J:$J)&lt;&gt;0,SUMIF('Production Data-Daily Input'!$B:$B,"Total "&amp;A50,'Production Data-Daily Input'!$J:$J),SUMIF('Production Data-Weekly input'!$A:$A,A50,'Production Data-Weekly input'!$I:$I)))</f>
        <v/>
      </c>
    </row>
    <row r="51" spans="1:34" s="299" customFormat="1" ht="24.95" customHeight="1" x14ac:dyDescent="0.25">
      <c r="A51" s="273">
        <f t="shared" si="2"/>
        <v>53</v>
      </c>
      <c r="B51" s="429" t="str">
        <f>'Production Data-Daily Input'!B294</f>
        <v/>
      </c>
      <c r="C51" s="274" t="str">
        <f>IF(IF(AND(SUMIF('Production Data-Daily Input'!$B:$B,"Total "&amp;$A51,'Production Data-Daily Input'!$C:$C)="",SUMIF('Production Data-Weekly input'!$A:$A,A51,'Production Data-Weekly input'!$B:$B)=""),"",IF(SUMIF('Production Data-Daily Input'!$B:$B,"Total "&amp;$A51,'Production Data-Daily Input'!$C:$C)&lt;&gt;0,SUMIF('Production Data-Daily Input'!$B:$B,"Total "&amp;$A51,'Production Data-Daily Input'!$C:$C),SUMIF('Production Data-Weekly input'!$A:$A,A51,'Production Data-Weekly input'!$B:$B)/100*Data!$F$37))=0,"",IF(AND(SUMIF('Production Data-Daily Input'!$B:$B,"Total "&amp;$A51,'Production Data-Daily Input'!$C:$C)="",SUMIF('Production Data-Weekly input'!$A:$A,A51,'Production Data-Weekly input'!$B:$B)=""),"",IF(SUMIF('Production Data-Daily Input'!$B:$B,"Total "&amp;$A51,'Production Data-Daily Input'!$C:$C)&lt;&gt;0,SUMIF('Production Data-Daily Input'!$B:$B,"Total "&amp;$A51,'Production Data-Daily Input'!$C:$C),SUMIF('Production Data-Weekly input'!$A:$A,A51,'Production Data-Weekly input'!$B:$B)/100*Data!$F$37)))</f>
        <v/>
      </c>
      <c r="D51" s="275" t="str">
        <f>IF(AND(SUM(C51:$C$88)=0,SUMIF('Production Data-Daily Input'!$B:$B,"Total "&amp;$A51,'Production Data-Daily Input'!$D:$D)=0,SUMIF('Production Data-Weekly input'!$A:$A,$A51,'Production Data-Weekly input'!$C:$C)=0),"",IF(C51="",D50,C51+D50))</f>
        <v/>
      </c>
      <c r="E51" s="276" t="str">
        <f>IF(F51="","",F51/Data!F$37)</f>
        <v/>
      </c>
      <c r="F51" s="277" t="str">
        <f>IF(D51="","",Data!$F$37-D51)</f>
        <v/>
      </c>
      <c r="G51" s="278" t="str">
        <f>IF(F51="","",IF(SUMIF('Production Data-Daily Input'!$B:$B,"Total "&amp;$A51,'Production Data-Daily Input'!$D:$D)&lt;&gt;0,SUMIF('Production Data-Daily Input'!$B:$B,"Total "&amp;$A51,'Production Data-Daily Input'!$D:$D),IF(SUMIF('Production Data-Weekly input'!$A:$A,$A51,'Production Data-Weekly input'!$C:$C)=0,0,SUMIF('Production Data-Weekly input'!$A:$A,$A51,'Production Data-Weekly input'!$C:$C)/100*7*$F51)))</f>
        <v/>
      </c>
      <c r="H51" s="279" t="str">
        <f>IF(AND(G51="",'Production Data-Weekly input'!C48=""),"",IF(G51="",'Production Data-Weekly input'!C48,G51/F51/7*100))</f>
        <v/>
      </c>
      <c r="I51" s="300" t="str">
        <f>Standard!D43</f>
        <v/>
      </c>
      <c r="J51" s="275">
        <f t="shared" si="6"/>
        <v>0</v>
      </c>
      <c r="K51" s="281" t="str">
        <f>IF(H51="","",J51/Data!F$37)</f>
        <v/>
      </c>
      <c r="L51" s="301" t="str">
        <f>Standard!F43</f>
        <v/>
      </c>
      <c r="M51" s="283" t="str">
        <f>IF(IF(SUMIF('Production Data-Daily Input'!$B:$B,"Total "&amp;$A51,'Production Data-Daily Input'!$G:$G)&lt;&gt;0,SUMIF('Production Data-Daily Input'!$B:$B,"Total "&amp;$A51,'Production Data-Daily Input'!$G:$G),IF(SUMIF('Production Data-Weekly input'!$A:$A,$A51,'Production Data-Weekly input'!$F:$F)="","",SUMIF('Production Data-Weekly input'!$A:$A,$A51,'Production Data-Weekly input'!$F:$F)))=0,"",IF(SUMIF('Production Data-Daily Input'!$B:$B,"Total "&amp;$A51,'Production Data-Daily Input'!$G:$G)&lt;&gt;0,SUMIF('Production Data-Daily Input'!$B:$B,"Total "&amp;$A51,'Production Data-Daily Input'!$G:$G),IF(SUMIF('Production Data-Weekly input'!$A:$A,$A51,'Production Data-Weekly input'!$F:$F)="","",SUMIF('Production Data-Weekly input'!$A:$A,$A51,'Production Data-Weekly input'!$F:$F))))</f>
        <v/>
      </c>
      <c r="N51" s="302" t="str">
        <f>Standard!G43</f>
        <v/>
      </c>
      <c r="O51" s="285" t="str">
        <f t="shared" si="8"/>
        <v/>
      </c>
      <c r="P51" s="303" t="str">
        <f>Standard!H43</f>
        <v/>
      </c>
      <c r="Q51" s="287" t="str">
        <f>IF(Q50="","",IF(AND(H51="",Q50=""),"",IF(O51="","",IF(M51="",IF(Q50="",0,Q50),(M51*H51/100*7*F51/Data!F$37)+IF(Q50="",0,Q50)))))</f>
        <v/>
      </c>
      <c r="R51" s="288" t="str">
        <f>Standard!I43</f>
        <v/>
      </c>
      <c r="S51" s="289" t="str">
        <f>IF(AND(F51="",Q51=""),"",IF(J51&lt;&gt;"",IF(Q51="","",Q51*Data!F$37/J51),""))</f>
        <v/>
      </c>
      <c r="T51" s="290" t="str">
        <f>Standard!J43</f>
        <v/>
      </c>
      <c r="U51" s="291" t="str">
        <f t="shared" si="1"/>
        <v/>
      </c>
      <c r="V51" s="292" t="str">
        <f>IF(F51="","",IF(SUMIF('Production Data-Weekly input'!$A:$A,A51,'Production Data-Weekly input'!$G:$G)&lt;&gt;0,SUMIF('Production Data-Weekly input'!$A:$A,A51,'Production Data-Weekly input'!$G:$G),(SUMIF('Production Data-Daily Input'!$B:$B,"Total "&amp;A51,'Production Data-Daily Input'!$H:$H)*1000/7/F51)))</f>
        <v/>
      </c>
      <c r="W51" s="293" t="str">
        <f t="shared" si="3"/>
        <v/>
      </c>
      <c r="X51" s="293" t="str">
        <f>IF(W51&lt;&gt;"",W51/Data!F$37*1000/((A51-16)*7),"")</f>
        <v/>
      </c>
      <c r="Y51" s="400" t="str">
        <f t="shared" si="9"/>
        <v/>
      </c>
      <c r="Z51" s="294" t="str">
        <f>IF(F51="","",IF(OR(Q51=0,Q51=""),"",IF(W51&lt;&gt;0,W51/(Q51*Data!F$37/1000),"")))</f>
        <v/>
      </c>
      <c r="AA51" s="295" t="str">
        <f>IF(AND(U51=0,SUMIF('Production Data-Weekly input'!$A:$A,$A51,'Production Data-Weekly input'!$H:$H)=0,SUMIF('Production Data-Daily Input'!$B:$B,"Total "&amp;A51,'Production Data-Daily Input'!$I:$I)=0),"",IF(F51="","",IF(SUMIF('Production Data-Weekly input'!$A:$A,$A51,'Production Data-Weekly input'!$H:$H)&lt;&gt;0,SUMIF('Production Data-Weekly input'!$A:$A,$A51,'Production Data-Weekly input'!$H:$H)*7/U51,SUMIF('Production Data-Daily Input'!$B:$B,"Total "&amp;A51,'Production Data-Daily Input'!$I:$I)*7/U51)))</f>
        <v/>
      </c>
      <c r="AB51" s="278">
        <f>SUMIF('Production Data-Daily Input'!$B:$B,"Total "&amp;$A51,'Production Data-Daily Input'!$E:$E)</f>
        <v>0</v>
      </c>
      <c r="AC51" s="296" t="str">
        <f>IF(F51="","",IF(G51&lt;&gt;0,IF(AB51&lt;&gt;0,AB51/G51,'Production Data-Weekly input'!D48/100),""))</f>
        <v/>
      </c>
      <c r="AD51" s="275">
        <f>SUMIF('Production Data-Daily Input'!$B:$B,"Total "&amp;$A51,'Production Data-Daily Input'!$F:$F)</f>
        <v>0</v>
      </c>
      <c r="AE51" s="296" t="str">
        <f>IF(F51="","",IF(G51&lt;&gt;0,IF(AD51&lt;&gt;0,AD51/G51,'Production Data-Weekly input'!E48/100),""))</f>
        <v/>
      </c>
      <c r="AF51" s="275">
        <f t="shared" si="5"/>
        <v>0</v>
      </c>
      <c r="AG51" s="297" t="str">
        <f t="shared" ref="AG51:AG82" si="10">IF(F51="","",IF(G51&lt;&gt;0,AC51+AE51,""))</f>
        <v/>
      </c>
      <c r="AH51" s="298" t="str">
        <f>IF(AND(SUMIF('Production Data-Daily Input'!$B:$B,"Total "&amp;A51,'Production Data-Daily Input'!$J:$J)=0,SUMIF('Production Data-Weekly input'!$A:$A,A51,'Production Data-Weekly input'!$I:$I)=0),"",IF(SUMIF('Production Data-Daily Input'!$B:$B,"Total "&amp;A51,'Production Data-Daily Input'!$J:$J)&lt;&gt;0,SUMIF('Production Data-Daily Input'!$B:$B,"Total "&amp;A51,'Production Data-Daily Input'!$J:$J),SUMIF('Production Data-Weekly input'!$A:$A,A51,'Production Data-Weekly input'!$I:$I)))</f>
        <v/>
      </c>
    </row>
    <row r="52" spans="1:34" s="299" customFormat="1" ht="24.95" customHeight="1" x14ac:dyDescent="0.25">
      <c r="A52" s="273">
        <f t="shared" si="2"/>
        <v>54</v>
      </c>
      <c r="B52" s="429" t="str">
        <f>'Production Data-Daily Input'!B302</f>
        <v/>
      </c>
      <c r="C52" s="274" t="str">
        <f>IF(IF(AND(SUMIF('Production Data-Daily Input'!$B:$B,"Total "&amp;$A52,'Production Data-Daily Input'!$C:$C)="",SUMIF('Production Data-Weekly input'!$A:$A,A52,'Production Data-Weekly input'!$B:$B)=""),"",IF(SUMIF('Production Data-Daily Input'!$B:$B,"Total "&amp;$A52,'Production Data-Daily Input'!$C:$C)&lt;&gt;0,SUMIF('Production Data-Daily Input'!$B:$B,"Total "&amp;$A52,'Production Data-Daily Input'!$C:$C),SUMIF('Production Data-Weekly input'!$A:$A,A52,'Production Data-Weekly input'!$B:$B)/100*Data!$F$37))=0,"",IF(AND(SUMIF('Production Data-Daily Input'!$B:$B,"Total "&amp;$A52,'Production Data-Daily Input'!$C:$C)="",SUMIF('Production Data-Weekly input'!$A:$A,A52,'Production Data-Weekly input'!$B:$B)=""),"",IF(SUMIF('Production Data-Daily Input'!$B:$B,"Total "&amp;$A52,'Production Data-Daily Input'!$C:$C)&lt;&gt;0,SUMIF('Production Data-Daily Input'!$B:$B,"Total "&amp;$A52,'Production Data-Daily Input'!$C:$C),SUMIF('Production Data-Weekly input'!$A:$A,A52,'Production Data-Weekly input'!$B:$B)/100*Data!$F$37)))</f>
        <v/>
      </c>
      <c r="D52" s="275" t="str">
        <f>IF(AND(SUM(C52:$C$88)=0,SUMIF('Production Data-Daily Input'!$B:$B,"Total "&amp;$A52,'Production Data-Daily Input'!$D:$D)=0,SUMIF('Production Data-Weekly input'!$A:$A,$A52,'Production Data-Weekly input'!$C:$C)=0),"",IF(C52="",D51,C52+D51))</f>
        <v/>
      </c>
      <c r="E52" s="276" t="str">
        <f>IF(F52="","",F52/Data!F$37)</f>
        <v/>
      </c>
      <c r="F52" s="277" t="str">
        <f>IF(D52="","",Data!$F$37-D52)</f>
        <v/>
      </c>
      <c r="G52" s="278" t="str">
        <f>IF(F52="","",IF(SUMIF('Production Data-Daily Input'!$B:$B,"Total "&amp;$A52,'Production Data-Daily Input'!$D:$D)&lt;&gt;0,SUMIF('Production Data-Daily Input'!$B:$B,"Total "&amp;$A52,'Production Data-Daily Input'!$D:$D),IF(SUMIF('Production Data-Weekly input'!$A:$A,$A52,'Production Data-Weekly input'!$C:$C)=0,0,SUMIF('Production Data-Weekly input'!$A:$A,$A52,'Production Data-Weekly input'!$C:$C)/100*7*$F52)))</f>
        <v/>
      </c>
      <c r="H52" s="279" t="str">
        <f>IF(AND(G52="",'Production Data-Weekly input'!C49=""),"",IF(G52="",'Production Data-Weekly input'!C49,G52/F52/7*100))</f>
        <v/>
      </c>
      <c r="I52" s="300" t="str">
        <f>Standard!D44</f>
        <v/>
      </c>
      <c r="J52" s="275">
        <f t="shared" si="6"/>
        <v>0</v>
      </c>
      <c r="K52" s="281" t="str">
        <f>IF(H52="","",J52/Data!F$37)</f>
        <v/>
      </c>
      <c r="L52" s="301" t="str">
        <f>Standard!F44</f>
        <v/>
      </c>
      <c r="M52" s="283" t="str">
        <f>IF(IF(SUMIF('Production Data-Daily Input'!$B:$B,"Total "&amp;$A52,'Production Data-Daily Input'!$G:$G)&lt;&gt;0,SUMIF('Production Data-Daily Input'!$B:$B,"Total "&amp;$A52,'Production Data-Daily Input'!$G:$G),IF(SUMIF('Production Data-Weekly input'!$A:$A,$A52,'Production Data-Weekly input'!$F:$F)="","",SUMIF('Production Data-Weekly input'!$A:$A,$A52,'Production Data-Weekly input'!$F:$F)))=0,"",IF(SUMIF('Production Data-Daily Input'!$B:$B,"Total "&amp;$A52,'Production Data-Daily Input'!$G:$G)&lt;&gt;0,SUMIF('Production Data-Daily Input'!$B:$B,"Total "&amp;$A52,'Production Data-Daily Input'!$G:$G),IF(SUMIF('Production Data-Weekly input'!$A:$A,$A52,'Production Data-Weekly input'!$F:$F)="","",SUMIF('Production Data-Weekly input'!$A:$A,$A52,'Production Data-Weekly input'!$F:$F))))</f>
        <v/>
      </c>
      <c r="N52" s="302" t="str">
        <f>Standard!G44</f>
        <v/>
      </c>
      <c r="O52" s="285" t="str">
        <f t="shared" si="8"/>
        <v/>
      </c>
      <c r="P52" s="303" t="str">
        <f>Standard!H44</f>
        <v/>
      </c>
      <c r="Q52" s="287" t="str">
        <f>IF(Q51="","",IF(AND(H52="",Q51=""),"",IF(O52="","",IF(M52="",IF(Q51="",0,Q51),(M52*H52/100*7*F52/Data!F$37)+IF(Q51="",0,Q51)))))</f>
        <v/>
      </c>
      <c r="R52" s="288" t="str">
        <f>Standard!I44</f>
        <v/>
      </c>
      <c r="S52" s="289" t="str">
        <f>IF(AND(F52="",Q52=""),"",IF(J52&lt;&gt;"",IF(Q52="","",Q52*Data!F$37/J52),""))</f>
        <v/>
      </c>
      <c r="T52" s="290" t="str">
        <f>Standard!J44</f>
        <v/>
      </c>
      <c r="U52" s="291" t="str">
        <f t="shared" si="1"/>
        <v/>
      </c>
      <c r="V52" s="292" t="str">
        <f>IF(F52="","",IF(SUMIF('Production Data-Weekly input'!$A:$A,A52,'Production Data-Weekly input'!$G:$G)&lt;&gt;0,SUMIF('Production Data-Weekly input'!$A:$A,A52,'Production Data-Weekly input'!$G:$G),(SUMIF('Production Data-Daily Input'!$B:$B,"Total "&amp;A52,'Production Data-Daily Input'!$H:$H)*1000/7/F52)))</f>
        <v/>
      </c>
      <c r="W52" s="293" t="str">
        <f t="shared" si="3"/>
        <v/>
      </c>
      <c r="X52" s="293" t="str">
        <f>IF(W52&lt;&gt;"",W52/Data!F$37*1000/((A52-16)*7),"")</f>
        <v/>
      </c>
      <c r="Y52" s="400" t="str">
        <f t="shared" si="9"/>
        <v/>
      </c>
      <c r="Z52" s="294" t="str">
        <f>IF(F52="","",IF(OR(Q52=0,Q52=""),"",IF(W52&lt;&gt;0,W52/(Q52*Data!F$37/1000),"")))</f>
        <v/>
      </c>
      <c r="AA52" s="295" t="str">
        <f>IF(AND(U52=0,SUMIF('Production Data-Weekly input'!$A:$A,$A52,'Production Data-Weekly input'!$H:$H)=0,SUMIF('Production Data-Daily Input'!$B:$B,"Total "&amp;A52,'Production Data-Daily Input'!$I:$I)=0),"",IF(F52="","",IF(SUMIF('Production Data-Weekly input'!$A:$A,$A52,'Production Data-Weekly input'!$H:$H)&lt;&gt;0,SUMIF('Production Data-Weekly input'!$A:$A,$A52,'Production Data-Weekly input'!$H:$H)*7/U52,SUMIF('Production Data-Daily Input'!$B:$B,"Total "&amp;A52,'Production Data-Daily Input'!$I:$I)*7/U52)))</f>
        <v/>
      </c>
      <c r="AB52" s="278">
        <f>SUMIF('Production Data-Daily Input'!$B:$B,"Total "&amp;$A52,'Production Data-Daily Input'!$E:$E)</f>
        <v>0</v>
      </c>
      <c r="AC52" s="296" t="str">
        <f>IF(F52="","",IF(G52&lt;&gt;0,IF(AB52&lt;&gt;0,AB52/G52,'Production Data-Weekly input'!D49/100),""))</f>
        <v/>
      </c>
      <c r="AD52" s="275">
        <f>SUMIF('Production Data-Daily Input'!$B:$B,"Total "&amp;$A52,'Production Data-Daily Input'!$F:$F)</f>
        <v>0</v>
      </c>
      <c r="AE52" s="296" t="str">
        <f>IF(F52="","",IF(G52&lt;&gt;0,IF(AD52&lt;&gt;0,AD52/G52,'Production Data-Weekly input'!E49/100),""))</f>
        <v/>
      </c>
      <c r="AF52" s="275">
        <f t="shared" si="5"/>
        <v>0</v>
      </c>
      <c r="AG52" s="297" t="str">
        <f t="shared" si="10"/>
        <v/>
      </c>
      <c r="AH52" s="298" t="str">
        <f>IF(AND(SUMIF('Production Data-Daily Input'!$B:$B,"Total "&amp;A52,'Production Data-Daily Input'!$J:$J)=0,SUMIF('Production Data-Weekly input'!$A:$A,A52,'Production Data-Weekly input'!$I:$I)=0),"",IF(SUMIF('Production Data-Daily Input'!$B:$B,"Total "&amp;A52,'Production Data-Daily Input'!$J:$J)&lt;&gt;0,SUMIF('Production Data-Daily Input'!$B:$B,"Total "&amp;A52,'Production Data-Daily Input'!$J:$J),SUMIF('Production Data-Weekly input'!$A:$A,A52,'Production Data-Weekly input'!$I:$I)))</f>
        <v/>
      </c>
    </row>
    <row r="53" spans="1:34" s="299" customFormat="1" ht="24.95" customHeight="1" x14ac:dyDescent="0.25">
      <c r="A53" s="273">
        <f t="shared" si="2"/>
        <v>55</v>
      </c>
      <c r="B53" s="429" t="str">
        <f>'Production Data-Daily Input'!B310</f>
        <v/>
      </c>
      <c r="C53" s="274" t="str">
        <f>IF(IF(AND(SUMIF('Production Data-Daily Input'!$B:$B,"Total "&amp;$A53,'Production Data-Daily Input'!$C:$C)="",SUMIF('Production Data-Weekly input'!$A:$A,A53,'Production Data-Weekly input'!$B:$B)=""),"",IF(SUMIF('Production Data-Daily Input'!$B:$B,"Total "&amp;$A53,'Production Data-Daily Input'!$C:$C)&lt;&gt;0,SUMIF('Production Data-Daily Input'!$B:$B,"Total "&amp;$A53,'Production Data-Daily Input'!$C:$C),SUMIF('Production Data-Weekly input'!$A:$A,A53,'Production Data-Weekly input'!$B:$B)/100*Data!$F$37))=0,"",IF(AND(SUMIF('Production Data-Daily Input'!$B:$B,"Total "&amp;$A53,'Production Data-Daily Input'!$C:$C)="",SUMIF('Production Data-Weekly input'!$A:$A,A53,'Production Data-Weekly input'!$B:$B)=""),"",IF(SUMIF('Production Data-Daily Input'!$B:$B,"Total "&amp;$A53,'Production Data-Daily Input'!$C:$C)&lt;&gt;0,SUMIF('Production Data-Daily Input'!$B:$B,"Total "&amp;$A53,'Production Data-Daily Input'!$C:$C),SUMIF('Production Data-Weekly input'!$A:$A,A53,'Production Data-Weekly input'!$B:$B)/100*Data!$F$37)))</f>
        <v/>
      </c>
      <c r="D53" s="275" t="str">
        <f>IF(AND(SUM(C53:$C$88)=0,SUMIF('Production Data-Daily Input'!$B:$B,"Total "&amp;$A53,'Production Data-Daily Input'!$D:$D)=0,SUMIF('Production Data-Weekly input'!$A:$A,$A53,'Production Data-Weekly input'!$C:$C)=0),"",IF(C53="",D52,C53+D52))</f>
        <v/>
      </c>
      <c r="E53" s="276" t="str">
        <f>IF(F53="","",F53/Data!F$37)</f>
        <v/>
      </c>
      <c r="F53" s="277" t="str">
        <f>IF(D53="","",Data!$F$37-D53)</f>
        <v/>
      </c>
      <c r="G53" s="278" t="str">
        <f>IF(F53="","",IF(SUMIF('Production Data-Daily Input'!$B:$B,"Total "&amp;$A53,'Production Data-Daily Input'!$D:$D)&lt;&gt;0,SUMIF('Production Data-Daily Input'!$B:$B,"Total "&amp;$A53,'Production Data-Daily Input'!$D:$D),IF(SUMIF('Production Data-Weekly input'!$A:$A,$A53,'Production Data-Weekly input'!$C:$C)=0,0,SUMIF('Production Data-Weekly input'!$A:$A,$A53,'Production Data-Weekly input'!$C:$C)/100*7*$F53)))</f>
        <v/>
      </c>
      <c r="H53" s="279" t="str">
        <f>IF(AND(G53="",'Production Data-Weekly input'!C50=""),"",IF(G53="",'Production Data-Weekly input'!C50,G53/F53/7*100))</f>
        <v/>
      </c>
      <c r="I53" s="300" t="str">
        <f>Standard!D45</f>
        <v/>
      </c>
      <c r="J53" s="275">
        <f t="shared" si="6"/>
        <v>0</v>
      </c>
      <c r="K53" s="281" t="str">
        <f>IF(H53="","",J53/Data!F$37)</f>
        <v/>
      </c>
      <c r="L53" s="301" t="str">
        <f>Standard!F45</f>
        <v/>
      </c>
      <c r="M53" s="283" t="str">
        <f>IF(IF(SUMIF('Production Data-Daily Input'!$B:$B,"Total "&amp;$A53,'Production Data-Daily Input'!$G:$G)&lt;&gt;0,SUMIF('Production Data-Daily Input'!$B:$B,"Total "&amp;$A53,'Production Data-Daily Input'!$G:$G),IF(SUMIF('Production Data-Weekly input'!$A:$A,$A53,'Production Data-Weekly input'!$F:$F)="","",SUMIF('Production Data-Weekly input'!$A:$A,$A53,'Production Data-Weekly input'!$F:$F)))=0,"",IF(SUMIF('Production Data-Daily Input'!$B:$B,"Total "&amp;$A53,'Production Data-Daily Input'!$G:$G)&lt;&gt;0,SUMIF('Production Data-Daily Input'!$B:$B,"Total "&amp;$A53,'Production Data-Daily Input'!$G:$G),IF(SUMIF('Production Data-Weekly input'!$A:$A,$A53,'Production Data-Weekly input'!$F:$F)="","",SUMIF('Production Data-Weekly input'!$A:$A,$A53,'Production Data-Weekly input'!$F:$F))))</f>
        <v/>
      </c>
      <c r="N53" s="302" t="str">
        <f>Standard!G45</f>
        <v/>
      </c>
      <c r="O53" s="285" t="str">
        <f t="shared" si="8"/>
        <v/>
      </c>
      <c r="P53" s="303" t="str">
        <f>Standard!H45</f>
        <v/>
      </c>
      <c r="Q53" s="287" t="str">
        <f>IF(Q52="","",IF(AND(H53="",Q52=""),"",IF(O53="","",IF(M53="",IF(Q52="",0,Q52),(M53*H53/100*7*F53/Data!F$37)+IF(Q52="",0,Q52)))))</f>
        <v/>
      </c>
      <c r="R53" s="288" t="str">
        <f>Standard!I45</f>
        <v/>
      </c>
      <c r="S53" s="289" t="str">
        <f>IF(AND(F53="",Q53=""),"",IF(J53&lt;&gt;"",IF(Q53="","",Q53*Data!F$37/J53),""))</f>
        <v/>
      </c>
      <c r="T53" s="290" t="str">
        <f>Standard!J45</f>
        <v/>
      </c>
      <c r="U53" s="291" t="str">
        <f t="shared" si="1"/>
        <v/>
      </c>
      <c r="V53" s="292" t="str">
        <f>IF(F53="","",IF(SUMIF('Production Data-Weekly input'!$A:$A,A53,'Production Data-Weekly input'!$G:$G)&lt;&gt;0,SUMIF('Production Data-Weekly input'!$A:$A,A53,'Production Data-Weekly input'!$G:$G),(SUMIF('Production Data-Daily Input'!$B:$B,"Total "&amp;A53,'Production Data-Daily Input'!$H:$H)*1000/7/F53)))</f>
        <v/>
      </c>
      <c r="W53" s="293" t="str">
        <f t="shared" si="3"/>
        <v/>
      </c>
      <c r="X53" s="293" t="str">
        <f>IF(W53&lt;&gt;"",W53/Data!F$37*1000/((A53-16)*7),"")</f>
        <v/>
      </c>
      <c r="Y53" s="400" t="str">
        <f t="shared" si="9"/>
        <v/>
      </c>
      <c r="Z53" s="294" t="str">
        <f>IF(F53="","",IF(OR(Q53=0,Q53=""),"",IF(W53&lt;&gt;0,W53/(Q53*Data!F$37/1000),"")))</f>
        <v/>
      </c>
      <c r="AA53" s="295" t="str">
        <f>IF(AND(U53=0,SUMIF('Production Data-Weekly input'!$A:$A,$A53,'Production Data-Weekly input'!$H:$H)=0,SUMIF('Production Data-Daily Input'!$B:$B,"Total "&amp;A53,'Production Data-Daily Input'!$I:$I)=0),"",IF(F53="","",IF(SUMIF('Production Data-Weekly input'!$A:$A,$A53,'Production Data-Weekly input'!$H:$H)&lt;&gt;0,SUMIF('Production Data-Weekly input'!$A:$A,$A53,'Production Data-Weekly input'!$H:$H)*7/U53,SUMIF('Production Data-Daily Input'!$B:$B,"Total "&amp;A53,'Production Data-Daily Input'!$I:$I)*7/U53)))</f>
        <v/>
      </c>
      <c r="AB53" s="278">
        <f>SUMIF('Production Data-Daily Input'!$B:$B,"Total "&amp;$A53,'Production Data-Daily Input'!$E:$E)</f>
        <v>0</v>
      </c>
      <c r="AC53" s="296" t="str">
        <f>IF(F53="","",IF(G53&lt;&gt;0,IF(AB53&lt;&gt;0,AB53/G53,'Production Data-Weekly input'!D50/100),""))</f>
        <v/>
      </c>
      <c r="AD53" s="275">
        <f>SUMIF('Production Data-Daily Input'!$B:$B,"Total "&amp;$A53,'Production Data-Daily Input'!$F:$F)</f>
        <v>0</v>
      </c>
      <c r="AE53" s="296" t="str">
        <f>IF(F53="","",IF(G53&lt;&gt;0,IF(AD53&lt;&gt;0,AD53/G53,'Production Data-Weekly input'!E50/100),""))</f>
        <v/>
      </c>
      <c r="AF53" s="275">
        <f t="shared" si="5"/>
        <v>0</v>
      </c>
      <c r="AG53" s="297" t="str">
        <f t="shared" si="10"/>
        <v/>
      </c>
      <c r="AH53" s="298" t="str">
        <f>IF(AND(SUMIF('Production Data-Daily Input'!$B:$B,"Total "&amp;A53,'Production Data-Daily Input'!$J:$J)=0,SUMIF('Production Data-Weekly input'!$A:$A,A53,'Production Data-Weekly input'!$I:$I)=0),"",IF(SUMIF('Production Data-Daily Input'!$B:$B,"Total "&amp;A53,'Production Data-Daily Input'!$J:$J)&lt;&gt;0,SUMIF('Production Data-Daily Input'!$B:$B,"Total "&amp;A53,'Production Data-Daily Input'!$J:$J),SUMIF('Production Data-Weekly input'!$A:$A,A53,'Production Data-Weekly input'!$I:$I)))</f>
        <v/>
      </c>
    </row>
    <row r="54" spans="1:34" s="299" customFormat="1" ht="24.95" customHeight="1" x14ac:dyDescent="0.25">
      <c r="A54" s="273">
        <f t="shared" si="2"/>
        <v>56</v>
      </c>
      <c r="B54" s="429" t="str">
        <f>'Production Data-Daily Input'!B318</f>
        <v/>
      </c>
      <c r="C54" s="274" t="str">
        <f>IF(IF(AND(SUMIF('Production Data-Daily Input'!$B:$B,"Total "&amp;$A54,'Production Data-Daily Input'!$C:$C)="",SUMIF('Production Data-Weekly input'!$A:$A,A54,'Production Data-Weekly input'!$B:$B)=""),"",IF(SUMIF('Production Data-Daily Input'!$B:$B,"Total "&amp;$A54,'Production Data-Daily Input'!$C:$C)&lt;&gt;0,SUMIF('Production Data-Daily Input'!$B:$B,"Total "&amp;$A54,'Production Data-Daily Input'!$C:$C),SUMIF('Production Data-Weekly input'!$A:$A,A54,'Production Data-Weekly input'!$B:$B)/100*Data!$F$37))=0,"",IF(AND(SUMIF('Production Data-Daily Input'!$B:$B,"Total "&amp;$A54,'Production Data-Daily Input'!$C:$C)="",SUMIF('Production Data-Weekly input'!$A:$A,A54,'Production Data-Weekly input'!$B:$B)=""),"",IF(SUMIF('Production Data-Daily Input'!$B:$B,"Total "&amp;$A54,'Production Data-Daily Input'!$C:$C)&lt;&gt;0,SUMIF('Production Data-Daily Input'!$B:$B,"Total "&amp;$A54,'Production Data-Daily Input'!$C:$C),SUMIF('Production Data-Weekly input'!$A:$A,A54,'Production Data-Weekly input'!$B:$B)/100*Data!$F$37)))</f>
        <v/>
      </c>
      <c r="D54" s="275" t="str">
        <f>IF(AND(SUM(C54:$C$88)=0,SUMIF('Production Data-Daily Input'!$B:$B,"Total "&amp;$A54,'Production Data-Daily Input'!$D:$D)=0,SUMIF('Production Data-Weekly input'!$A:$A,$A54,'Production Data-Weekly input'!$C:$C)=0),"",IF(C54="",D53,C54+D53))</f>
        <v/>
      </c>
      <c r="E54" s="276" t="str">
        <f>IF(F54="","",F54/Data!F$37)</f>
        <v/>
      </c>
      <c r="F54" s="277" t="str">
        <f>IF(D54="","",Data!$F$37-D54)</f>
        <v/>
      </c>
      <c r="G54" s="278" t="str">
        <f>IF(F54="","",IF(SUMIF('Production Data-Daily Input'!$B:$B,"Total "&amp;$A54,'Production Data-Daily Input'!$D:$D)&lt;&gt;0,SUMIF('Production Data-Daily Input'!$B:$B,"Total "&amp;$A54,'Production Data-Daily Input'!$D:$D),IF(SUMIF('Production Data-Weekly input'!$A:$A,$A54,'Production Data-Weekly input'!$C:$C)=0,0,SUMIF('Production Data-Weekly input'!$A:$A,$A54,'Production Data-Weekly input'!$C:$C)/100*7*$F54)))</f>
        <v/>
      </c>
      <c r="H54" s="279" t="str">
        <f>IF(AND(G54="",'Production Data-Weekly input'!C51=""),"",IF(G54="",'Production Data-Weekly input'!C51,G54/F54/7*100))</f>
        <v/>
      </c>
      <c r="I54" s="300" t="str">
        <f>Standard!D46</f>
        <v/>
      </c>
      <c r="J54" s="275">
        <f t="shared" si="6"/>
        <v>0</v>
      </c>
      <c r="K54" s="281" t="str">
        <f>IF(H54="","",J54/Data!F$37)</f>
        <v/>
      </c>
      <c r="L54" s="301" t="str">
        <f>Standard!F46</f>
        <v/>
      </c>
      <c r="M54" s="283" t="str">
        <f>IF(IF(SUMIF('Production Data-Daily Input'!$B:$B,"Total "&amp;$A54,'Production Data-Daily Input'!$G:$G)&lt;&gt;0,SUMIF('Production Data-Daily Input'!$B:$B,"Total "&amp;$A54,'Production Data-Daily Input'!$G:$G),IF(SUMIF('Production Data-Weekly input'!$A:$A,$A54,'Production Data-Weekly input'!$F:$F)="","",SUMIF('Production Data-Weekly input'!$A:$A,$A54,'Production Data-Weekly input'!$F:$F)))=0,"",IF(SUMIF('Production Data-Daily Input'!$B:$B,"Total "&amp;$A54,'Production Data-Daily Input'!$G:$G)&lt;&gt;0,SUMIF('Production Data-Daily Input'!$B:$B,"Total "&amp;$A54,'Production Data-Daily Input'!$G:$G),IF(SUMIF('Production Data-Weekly input'!$A:$A,$A54,'Production Data-Weekly input'!$F:$F)="","",SUMIF('Production Data-Weekly input'!$A:$A,$A54,'Production Data-Weekly input'!$F:$F))))</f>
        <v/>
      </c>
      <c r="N54" s="302" t="str">
        <f>Standard!G46</f>
        <v/>
      </c>
      <c r="O54" s="285" t="str">
        <f t="shared" si="8"/>
        <v/>
      </c>
      <c r="P54" s="303" t="str">
        <f>Standard!H46</f>
        <v/>
      </c>
      <c r="Q54" s="287" t="str">
        <f>IF(Q53="","",IF(AND(H54="",Q53=""),"",IF(O54="","",IF(M54="",IF(Q53="",0,Q53),(M54*H54/100*7*F54/Data!F$37)+IF(Q53="",0,Q53)))))</f>
        <v/>
      </c>
      <c r="R54" s="288" t="str">
        <f>Standard!I46</f>
        <v/>
      </c>
      <c r="S54" s="289" t="str">
        <f>IF(AND(F54="",Q54=""),"",IF(J54&lt;&gt;"",IF(Q54="","",Q54*Data!F$37/J54),""))</f>
        <v/>
      </c>
      <c r="T54" s="290" t="str">
        <f>Standard!J46</f>
        <v/>
      </c>
      <c r="U54" s="291" t="str">
        <f t="shared" si="1"/>
        <v/>
      </c>
      <c r="V54" s="292" t="str">
        <f>IF(F54="","",IF(SUMIF('Production Data-Weekly input'!$A:$A,A54,'Production Data-Weekly input'!$G:$G)&lt;&gt;0,SUMIF('Production Data-Weekly input'!$A:$A,A54,'Production Data-Weekly input'!$G:$G),(SUMIF('Production Data-Daily Input'!$B:$B,"Total "&amp;A54,'Production Data-Daily Input'!$H:$H)*1000/7/F54)))</f>
        <v/>
      </c>
      <c r="W54" s="293" t="str">
        <f t="shared" si="3"/>
        <v/>
      </c>
      <c r="X54" s="293" t="str">
        <f>IF(W54&lt;&gt;"",W54/Data!F$37*1000/((A54-16)*7),"")</f>
        <v/>
      </c>
      <c r="Y54" s="400" t="str">
        <f t="shared" si="9"/>
        <v/>
      </c>
      <c r="Z54" s="294" t="str">
        <f>IF(F54="","",IF(OR(Q54=0,Q54=""),"",IF(W54&lt;&gt;0,W54/(Q54*Data!F$37/1000),"")))</f>
        <v/>
      </c>
      <c r="AA54" s="295" t="str">
        <f>IF(AND(U54=0,SUMIF('Production Data-Weekly input'!$A:$A,$A54,'Production Data-Weekly input'!$H:$H)=0,SUMIF('Production Data-Daily Input'!$B:$B,"Total "&amp;A54,'Production Data-Daily Input'!$I:$I)=0),"",IF(F54="","",IF(SUMIF('Production Data-Weekly input'!$A:$A,$A54,'Production Data-Weekly input'!$H:$H)&lt;&gt;0,SUMIF('Production Data-Weekly input'!$A:$A,$A54,'Production Data-Weekly input'!$H:$H)*7/U54,SUMIF('Production Data-Daily Input'!$B:$B,"Total "&amp;A54,'Production Data-Daily Input'!$I:$I)*7/U54)))</f>
        <v/>
      </c>
      <c r="AB54" s="278">
        <f>SUMIF('Production Data-Daily Input'!$B:$B,"Total "&amp;$A54,'Production Data-Daily Input'!$E:$E)</f>
        <v>0</v>
      </c>
      <c r="AC54" s="296" t="str">
        <f>IF(F54="","",IF(G54&lt;&gt;0,IF(AB54&lt;&gt;0,AB54/G54,'Production Data-Weekly input'!D51/100),""))</f>
        <v/>
      </c>
      <c r="AD54" s="275">
        <f>SUMIF('Production Data-Daily Input'!$B:$B,"Total "&amp;$A54,'Production Data-Daily Input'!$F:$F)</f>
        <v>0</v>
      </c>
      <c r="AE54" s="296" t="str">
        <f>IF(F54="","",IF(G54&lt;&gt;0,IF(AD54&lt;&gt;0,AD54/G54,'Production Data-Weekly input'!E51/100),""))</f>
        <v/>
      </c>
      <c r="AF54" s="275">
        <f t="shared" si="5"/>
        <v>0</v>
      </c>
      <c r="AG54" s="297" t="str">
        <f t="shared" si="10"/>
        <v/>
      </c>
      <c r="AH54" s="298" t="str">
        <f>IF(AND(SUMIF('Production Data-Daily Input'!$B:$B,"Total "&amp;A54,'Production Data-Daily Input'!$J:$J)=0,SUMIF('Production Data-Weekly input'!$A:$A,A54,'Production Data-Weekly input'!$I:$I)=0),"",IF(SUMIF('Production Data-Daily Input'!$B:$B,"Total "&amp;A54,'Production Data-Daily Input'!$J:$J)&lt;&gt;0,SUMIF('Production Data-Daily Input'!$B:$B,"Total "&amp;A54,'Production Data-Daily Input'!$J:$J),SUMIF('Production Data-Weekly input'!$A:$A,A54,'Production Data-Weekly input'!$I:$I)))</f>
        <v/>
      </c>
    </row>
    <row r="55" spans="1:34" s="299" customFormat="1" ht="24.95" customHeight="1" x14ac:dyDescent="0.25">
      <c r="A55" s="273">
        <f t="shared" si="2"/>
        <v>57</v>
      </c>
      <c r="B55" s="429" t="str">
        <f>'Production Data-Daily Input'!B326</f>
        <v/>
      </c>
      <c r="C55" s="274" t="str">
        <f>IF(IF(AND(SUMIF('Production Data-Daily Input'!$B:$B,"Total "&amp;$A55,'Production Data-Daily Input'!$C:$C)="",SUMIF('Production Data-Weekly input'!$A:$A,A55,'Production Data-Weekly input'!$B:$B)=""),"",IF(SUMIF('Production Data-Daily Input'!$B:$B,"Total "&amp;$A55,'Production Data-Daily Input'!$C:$C)&lt;&gt;0,SUMIF('Production Data-Daily Input'!$B:$B,"Total "&amp;$A55,'Production Data-Daily Input'!$C:$C),SUMIF('Production Data-Weekly input'!$A:$A,A55,'Production Data-Weekly input'!$B:$B)/100*Data!$F$37))=0,"",IF(AND(SUMIF('Production Data-Daily Input'!$B:$B,"Total "&amp;$A55,'Production Data-Daily Input'!$C:$C)="",SUMIF('Production Data-Weekly input'!$A:$A,A55,'Production Data-Weekly input'!$B:$B)=""),"",IF(SUMIF('Production Data-Daily Input'!$B:$B,"Total "&amp;$A55,'Production Data-Daily Input'!$C:$C)&lt;&gt;0,SUMIF('Production Data-Daily Input'!$B:$B,"Total "&amp;$A55,'Production Data-Daily Input'!$C:$C),SUMIF('Production Data-Weekly input'!$A:$A,A55,'Production Data-Weekly input'!$B:$B)/100*Data!$F$37)))</f>
        <v/>
      </c>
      <c r="D55" s="275" t="str">
        <f>IF(AND(SUM(C55:$C$88)=0,SUMIF('Production Data-Daily Input'!$B:$B,"Total "&amp;$A55,'Production Data-Daily Input'!$D:$D)=0,SUMIF('Production Data-Weekly input'!$A:$A,$A55,'Production Data-Weekly input'!$C:$C)=0),"",IF(C55="",D54,C55+D54))</f>
        <v/>
      </c>
      <c r="E55" s="276" t="str">
        <f>IF(F55="","",F55/Data!F$37)</f>
        <v/>
      </c>
      <c r="F55" s="277" t="str">
        <f>IF(D55="","",Data!$F$37-D55)</f>
        <v/>
      </c>
      <c r="G55" s="278" t="str">
        <f>IF(F55="","",IF(SUMIF('Production Data-Daily Input'!$B:$B,"Total "&amp;$A55,'Production Data-Daily Input'!$D:$D)&lt;&gt;0,SUMIF('Production Data-Daily Input'!$B:$B,"Total "&amp;$A55,'Production Data-Daily Input'!$D:$D),IF(SUMIF('Production Data-Weekly input'!$A:$A,$A55,'Production Data-Weekly input'!$C:$C)=0,0,SUMIF('Production Data-Weekly input'!$A:$A,$A55,'Production Data-Weekly input'!$C:$C)/100*7*$F55)))</f>
        <v/>
      </c>
      <c r="H55" s="279" t="str">
        <f>IF(AND(G55="",'Production Data-Weekly input'!C52=""),"",IF(G55="",'Production Data-Weekly input'!C52,G55/F55/7*100))</f>
        <v/>
      </c>
      <c r="I55" s="300" t="str">
        <f>Standard!D47</f>
        <v/>
      </c>
      <c r="J55" s="275">
        <f t="shared" si="6"/>
        <v>0</v>
      </c>
      <c r="K55" s="281" t="str">
        <f>IF(H55="","",J55/Data!F$37)</f>
        <v/>
      </c>
      <c r="L55" s="301" t="str">
        <f>Standard!F47</f>
        <v/>
      </c>
      <c r="M55" s="283" t="str">
        <f>IF(IF(SUMIF('Production Data-Daily Input'!$B:$B,"Total "&amp;$A55,'Production Data-Daily Input'!$G:$G)&lt;&gt;0,SUMIF('Production Data-Daily Input'!$B:$B,"Total "&amp;$A55,'Production Data-Daily Input'!$G:$G),IF(SUMIF('Production Data-Weekly input'!$A:$A,$A55,'Production Data-Weekly input'!$F:$F)="","",SUMIF('Production Data-Weekly input'!$A:$A,$A55,'Production Data-Weekly input'!$F:$F)))=0,"",IF(SUMIF('Production Data-Daily Input'!$B:$B,"Total "&amp;$A55,'Production Data-Daily Input'!$G:$G)&lt;&gt;0,SUMIF('Production Data-Daily Input'!$B:$B,"Total "&amp;$A55,'Production Data-Daily Input'!$G:$G),IF(SUMIF('Production Data-Weekly input'!$A:$A,$A55,'Production Data-Weekly input'!$F:$F)="","",SUMIF('Production Data-Weekly input'!$A:$A,$A55,'Production Data-Weekly input'!$F:$F))))</f>
        <v/>
      </c>
      <c r="N55" s="302" t="str">
        <f>Standard!G47</f>
        <v/>
      </c>
      <c r="O55" s="285" t="str">
        <f t="shared" si="8"/>
        <v/>
      </c>
      <c r="P55" s="303" t="str">
        <f>Standard!H47</f>
        <v/>
      </c>
      <c r="Q55" s="287" t="str">
        <f>IF(Q54="","",IF(AND(H55="",Q54=""),"",IF(O55="","",IF(M55="",IF(Q54="",0,Q54),(M55*H55/100*7*F55/Data!F$37)+IF(Q54="",0,Q54)))))</f>
        <v/>
      </c>
      <c r="R55" s="288" t="str">
        <f>Standard!I47</f>
        <v/>
      </c>
      <c r="S55" s="289" t="str">
        <f>IF(AND(F55="",Q55=""),"",IF(J55&lt;&gt;"",IF(Q55="","",Q55*Data!F$37/J55),""))</f>
        <v/>
      </c>
      <c r="T55" s="290" t="str">
        <f>Standard!J47</f>
        <v/>
      </c>
      <c r="U55" s="291" t="str">
        <f t="shared" si="1"/>
        <v/>
      </c>
      <c r="V55" s="292" t="str">
        <f>IF(F55="","",IF(SUMIF('Production Data-Weekly input'!$A:$A,A55,'Production Data-Weekly input'!$G:$G)&lt;&gt;0,SUMIF('Production Data-Weekly input'!$A:$A,A55,'Production Data-Weekly input'!$G:$G),(SUMIF('Production Data-Daily Input'!$B:$B,"Total "&amp;A55,'Production Data-Daily Input'!$H:$H)*1000/7/F55)))</f>
        <v/>
      </c>
      <c r="W55" s="293" t="str">
        <f t="shared" si="3"/>
        <v/>
      </c>
      <c r="X55" s="293" t="str">
        <f>IF(W55&lt;&gt;"",W55/Data!F$37*1000/((A55-16)*7),"")</f>
        <v/>
      </c>
      <c r="Y55" s="400" t="str">
        <f t="shared" si="9"/>
        <v/>
      </c>
      <c r="Z55" s="294" t="str">
        <f>IF(F55="","",IF(OR(Q55=0,Q55=""),"",IF(W55&lt;&gt;0,W55/(Q55*Data!F$37/1000),"")))</f>
        <v/>
      </c>
      <c r="AA55" s="295" t="str">
        <f>IF(AND(U55=0,SUMIF('Production Data-Weekly input'!$A:$A,$A55,'Production Data-Weekly input'!$H:$H)=0,SUMIF('Production Data-Daily Input'!$B:$B,"Total "&amp;A55,'Production Data-Daily Input'!$I:$I)=0),"",IF(F55="","",IF(SUMIF('Production Data-Weekly input'!$A:$A,$A55,'Production Data-Weekly input'!$H:$H)&lt;&gt;0,SUMIF('Production Data-Weekly input'!$A:$A,$A55,'Production Data-Weekly input'!$H:$H)*7/U55,SUMIF('Production Data-Daily Input'!$B:$B,"Total "&amp;A55,'Production Data-Daily Input'!$I:$I)*7/U55)))</f>
        <v/>
      </c>
      <c r="AB55" s="278">
        <f>SUMIF('Production Data-Daily Input'!$B:$B,"Total "&amp;$A55,'Production Data-Daily Input'!$E:$E)</f>
        <v>0</v>
      </c>
      <c r="AC55" s="296" t="str">
        <f>IF(F55="","",IF(G55&lt;&gt;0,IF(AB55&lt;&gt;0,AB55/G55,'Production Data-Weekly input'!D52/100),""))</f>
        <v/>
      </c>
      <c r="AD55" s="275">
        <f>SUMIF('Production Data-Daily Input'!$B:$B,"Total "&amp;$A55,'Production Data-Daily Input'!$F:$F)</f>
        <v>0</v>
      </c>
      <c r="AE55" s="296" t="str">
        <f>IF(F55="","",IF(G55&lt;&gt;0,IF(AD55&lt;&gt;0,AD55/G55,'Production Data-Weekly input'!E52/100),""))</f>
        <v/>
      </c>
      <c r="AF55" s="275">
        <f t="shared" si="5"/>
        <v>0</v>
      </c>
      <c r="AG55" s="297" t="str">
        <f t="shared" si="10"/>
        <v/>
      </c>
      <c r="AH55" s="298" t="str">
        <f>IF(AND(SUMIF('Production Data-Daily Input'!$B:$B,"Total "&amp;A55,'Production Data-Daily Input'!$J:$J)=0,SUMIF('Production Data-Weekly input'!$A:$A,A55,'Production Data-Weekly input'!$I:$I)=0),"",IF(SUMIF('Production Data-Daily Input'!$B:$B,"Total "&amp;A55,'Production Data-Daily Input'!$J:$J)&lt;&gt;0,SUMIF('Production Data-Daily Input'!$B:$B,"Total "&amp;A55,'Production Data-Daily Input'!$J:$J),SUMIF('Production Data-Weekly input'!$A:$A,A55,'Production Data-Weekly input'!$I:$I)))</f>
        <v/>
      </c>
    </row>
    <row r="56" spans="1:34" s="299" customFormat="1" ht="24.95" customHeight="1" x14ac:dyDescent="0.25">
      <c r="A56" s="273">
        <f t="shared" si="2"/>
        <v>58</v>
      </c>
      <c r="B56" s="429" t="str">
        <f>'Production Data-Daily Input'!B334</f>
        <v/>
      </c>
      <c r="C56" s="274" t="str">
        <f>IF(IF(AND(SUMIF('Production Data-Daily Input'!$B:$B,"Total "&amp;$A56,'Production Data-Daily Input'!$C:$C)="",SUMIF('Production Data-Weekly input'!$A:$A,A56,'Production Data-Weekly input'!$B:$B)=""),"",IF(SUMIF('Production Data-Daily Input'!$B:$B,"Total "&amp;$A56,'Production Data-Daily Input'!$C:$C)&lt;&gt;0,SUMIF('Production Data-Daily Input'!$B:$B,"Total "&amp;$A56,'Production Data-Daily Input'!$C:$C),SUMIF('Production Data-Weekly input'!$A:$A,A56,'Production Data-Weekly input'!$B:$B)/100*Data!$F$37))=0,"",IF(AND(SUMIF('Production Data-Daily Input'!$B:$B,"Total "&amp;$A56,'Production Data-Daily Input'!$C:$C)="",SUMIF('Production Data-Weekly input'!$A:$A,A56,'Production Data-Weekly input'!$B:$B)=""),"",IF(SUMIF('Production Data-Daily Input'!$B:$B,"Total "&amp;$A56,'Production Data-Daily Input'!$C:$C)&lt;&gt;0,SUMIF('Production Data-Daily Input'!$B:$B,"Total "&amp;$A56,'Production Data-Daily Input'!$C:$C),SUMIF('Production Data-Weekly input'!$A:$A,A56,'Production Data-Weekly input'!$B:$B)/100*Data!$F$37)))</f>
        <v/>
      </c>
      <c r="D56" s="275" t="str">
        <f>IF(AND(SUM(C56:$C$88)=0,SUMIF('Production Data-Daily Input'!$B:$B,"Total "&amp;$A56,'Production Data-Daily Input'!$D:$D)=0,SUMIF('Production Data-Weekly input'!$A:$A,$A56,'Production Data-Weekly input'!$C:$C)=0),"",IF(C56="",D55,C56+D55))</f>
        <v/>
      </c>
      <c r="E56" s="276" t="str">
        <f>IF(F56="","",F56/Data!F$37)</f>
        <v/>
      </c>
      <c r="F56" s="277" t="str">
        <f>IF(D56="","",Data!$F$37-D56)</f>
        <v/>
      </c>
      <c r="G56" s="278" t="str">
        <f>IF(F56="","",IF(SUMIF('Production Data-Daily Input'!$B:$B,"Total "&amp;$A56,'Production Data-Daily Input'!$D:$D)&lt;&gt;0,SUMIF('Production Data-Daily Input'!$B:$B,"Total "&amp;$A56,'Production Data-Daily Input'!$D:$D),IF(SUMIF('Production Data-Weekly input'!$A:$A,$A56,'Production Data-Weekly input'!$C:$C)=0,0,SUMIF('Production Data-Weekly input'!$A:$A,$A56,'Production Data-Weekly input'!$C:$C)/100*7*$F56)))</f>
        <v/>
      </c>
      <c r="H56" s="279" t="str">
        <f>IF(AND(G56="",'Production Data-Weekly input'!C53=""),"",IF(G56="",'Production Data-Weekly input'!C53,G56/F56/7*100))</f>
        <v/>
      </c>
      <c r="I56" s="300" t="str">
        <f>Standard!D48</f>
        <v/>
      </c>
      <c r="J56" s="275">
        <f t="shared" si="6"/>
        <v>0</v>
      </c>
      <c r="K56" s="281" t="str">
        <f>IF(H56="","",J56/Data!F$37)</f>
        <v/>
      </c>
      <c r="L56" s="301" t="str">
        <f>Standard!F48</f>
        <v/>
      </c>
      <c r="M56" s="283" t="str">
        <f>IF(IF(SUMIF('Production Data-Daily Input'!$B:$B,"Total "&amp;$A56,'Production Data-Daily Input'!$G:$G)&lt;&gt;0,SUMIF('Production Data-Daily Input'!$B:$B,"Total "&amp;$A56,'Production Data-Daily Input'!$G:$G),IF(SUMIF('Production Data-Weekly input'!$A:$A,$A56,'Production Data-Weekly input'!$F:$F)="","",SUMIF('Production Data-Weekly input'!$A:$A,$A56,'Production Data-Weekly input'!$F:$F)))=0,"",IF(SUMIF('Production Data-Daily Input'!$B:$B,"Total "&amp;$A56,'Production Data-Daily Input'!$G:$G)&lt;&gt;0,SUMIF('Production Data-Daily Input'!$B:$B,"Total "&amp;$A56,'Production Data-Daily Input'!$G:$G),IF(SUMIF('Production Data-Weekly input'!$A:$A,$A56,'Production Data-Weekly input'!$F:$F)="","",SUMIF('Production Data-Weekly input'!$A:$A,$A56,'Production Data-Weekly input'!$F:$F))))</f>
        <v/>
      </c>
      <c r="N56" s="302" t="str">
        <f>Standard!G48</f>
        <v/>
      </c>
      <c r="O56" s="285" t="str">
        <f t="shared" si="8"/>
        <v/>
      </c>
      <c r="P56" s="303" t="str">
        <f>Standard!H48</f>
        <v/>
      </c>
      <c r="Q56" s="287" t="str">
        <f>IF(Q55="","",IF(AND(H56="",Q55=""),"",IF(O56="","",IF(M56="",IF(Q55="",0,Q55),(M56*H56/100*7*F56/Data!F$37)+IF(Q55="",0,Q55)))))</f>
        <v/>
      </c>
      <c r="R56" s="288" t="str">
        <f>Standard!I48</f>
        <v/>
      </c>
      <c r="S56" s="289" t="str">
        <f>IF(AND(F56="",Q56=""),"",IF(J56&lt;&gt;"",IF(Q56="","",Q56*Data!F$37/J56),""))</f>
        <v/>
      </c>
      <c r="T56" s="290" t="str">
        <f>Standard!J48</f>
        <v/>
      </c>
      <c r="U56" s="291" t="str">
        <f t="shared" si="1"/>
        <v/>
      </c>
      <c r="V56" s="292" t="str">
        <f>IF(F56="","",IF(SUMIF('Production Data-Weekly input'!$A:$A,A56,'Production Data-Weekly input'!$G:$G)&lt;&gt;0,SUMIF('Production Data-Weekly input'!$A:$A,A56,'Production Data-Weekly input'!$G:$G),(SUMIF('Production Data-Daily Input'!$B:$B,"Total "&amp;A56,'Production Data-Daily Input'!$H:$H)*1000/7/F56)))</f>
        <v/>
      </c>
      <c r="W56" s="293" t="str">
        <f t="shared" si="3"/>
        <v/>
      </c>
      <c r="X56" s="293" t="str">
        <f>IF(W56&lt;&gt;"",W56/Data!F$37*1000/((A56-16)*7),"")</f>
        <v/>
      </c>
      <c r="Y56" s="400" t="str">
        <f t="shared" si="9"/>
        <v/>
      </c>
      <c r="Z56" s="294" t="str">
        <f>IF(F56="","",IF(OR(Q56=0,Q56=""),"",IF(W56&lt;&gt;0,W56/(Q56*Data!F$37/1000),"")))</f>
        <v/>
      </c>
      <c r="AA56" s="295" t="str">
        <f>IF(AND(U56=0,SUMIF('Production Data-Weekly input'!$A:$A,$A56,'Production Data-Weekly input'!$H:$H)=0,SUMIF('Production Data-Daily Input'!$B:$B,"Total "&amp;A56,'Production Data-Daily Input'!$I:$I)=0),"",IF(F56="","",IF(SUMIF('Production Data-Weekly input'!$A:$A,$A56,'Production Data-Weekly input'!$H:$H)&lt;&gt;0,SUMIF('Production Data-Weekly input'!$A:$A,$A56,'Production Data-Weekly input'!$H:$H)*7/U56,SUMIF('Production Data-Daily Input'!$B:$B,"Total "&amp;A56,'Production Data-Daily Input'!$I:$I)*7/U56)))</f>
        <v/>
      </c>
      <c r="AB56" s="278">
        <f>SUMIF('Production Data-Daily Input'!$B:$B,"Total "&amp;$A56,'Production Data-Daily Input'!$E:$E)</f>
        <v>0</v>
      </c>
      <c r="AC56" s="296" t="str">
        <f>IF(F56="","",IF(G56&lt;&gt;0,IF(AB56&lt;&gt;0,AB56/G56,'Production Data-Weekly input'!D53/100),""))</f>
        <v/>
      </c>
      <c r="AD56" s="275">
        <f>SUMIF('Production Data-Daily Input'!$B:$B,"Total "&amp;$A56,'Production Data-Daily Input'!$F:$F)</f>
        <v>0</v>
      </c>
      <c r="AE56" s="296" t="str">
        <f>IF(F56="","",IF(G56&lt;&gt;0,IF(AD56&lt;&gt;0,AD56/G56,'Production Data-Weekly input'!E53/100),""))</f>
        <v/>
      </c>
      <c r="AF56" s="275">
        <f t="shared" si="5"/>
        <v>0</v>
      </c>
      <c r="AG56" s="297" t="str">
        <f t="shared" si="10"/>
        <v/>
      </c>
      <c r="AH56" s="298" t="str">
        <f>IF(AND(SUMIF('Production Data-Daily Input'!$B:$B,"Total "&amp;A56,'Production Data-Daily Input'!$J:$J)=0,SUMIF('Production Data-Weekly input'!$A:$A,A56,'Production Data-Weekly input'!$I:$I)=0),"",IF(SUMIF('Production Data-Daily Input'!$B:$B,"Total "&amp;A56,'Production Data-Daily Input'!$J:$J)&lt;&gt;0,SUMIF('Production Data-Daily Input'!$B:$B,"Total "&amp;A56,'Production Data-Daily Input'!$J:$J),SUMIF('Production Data-Weekly input'!$A:$A,A56,'Production Data-Weekly input'!$I:$I)))</f>
        <v/>
      </c>
    </row>
    <row r="57" spans="1:34" s="299" customFormat="1" ht="24.95" customHeight="1" x14ac:dyDescent="0.25">
      <c r="A57" s="273">
        <f t="shared" si="2"/>
        <v>59</v>
      </c>
      <c r="B57" s="429" t="str">
        <f>'Production Data-Daily Input'!B342</f>
        <v/>
      </c>
      <c r="C57" s="274" t="str">
        <f>IF(IF(AND(SUMIF('Production Data-Daily Input'!$B:$B,"Total "&amp;$A57,'Production Data-Daily Input'!$C:$C)="",SUMIF('Production Data-Weekly input'!$A:$A,A57,'Production Data-Weekly input'!$B:$B)=""),"",IF(SUMIF('Production Data-Daily Input'!$B:$B,"Total "&amp;$A57,'Production Data-Daily Input'!$C:$C)&lt;&gt;0,SUMIF('Production Data-Daily Input'!$B:$B,"Total "&amp;$A57,'Production Data-Daily Input'!$C:$C),SUMIF('Production Data-Weekly input'!$A:$A,A57,'Production Data-Weekly input'!$B:$B)/100*Data!$F$37))=0,"",IF(AND(SUMIF('Production Data-Daily Input'!$B:$B,"Total "&amp;$A57,'Production Data-Daily Input'!$C:$C)="",SUMIF('Production Data-Weekly input'!$A:$A,A57,'Production Data-Weekly input'!$B:$B)=""),"",IF(SUMIF('Production Data-Daily Input'!$B:$B,"Total "&amp;$A57,'Production Data-Daily Input'!$C:$C)&lt;&gt;0,SUMIF('Production Data-Daily Input'!$B:$B,"Total "&amp;$A57,'Production Data-Daily Input'!$C:$C),SUMIF('Production Data-Weekly input'!$A:$A,A57,'Production Data-Weekly input'!$B:$B)/100*Data!$F$37)))</f>
        <v/>
      </c>
      <c r="D57" s="275" t="str">
        <f>IF(AND(SUM(C57:$C$88)=0,SUMIF('Production Data-Daily Input'!$B:$B,"Total "&amp;$A57,'Production Data-Daily Input'!$D:$D)=0,SUMIF('Production Data-Weekly input'!$A:$A,$A57,'Production Data-Weekly input'!$C:$C)=0),"",IF(C57="",D56,C57+D56))</f>
        <v/>
      </c>
      <c r="E57" s="276" t="str">
        <f>IF(F57="","",F57/Data!F$37)</f>
        <v/>
      </c>
      <c r="F57" s="277" t="str">
        <f>IF(D57="","",Data!$F$37-D57)</f>
        <v/>
      </c>
      <c r="G57" s="278" t="str">
        <f>IF(F57="","",IF(SUMIF('Production Data-Daily Input'!$B:$B,"Total "&amp;$A57,'Production Data-Daily Input'!$D:$D)&lt;&gt;0,SUMIF('Production Data-Daily Input'!$B:$B,"Total "&amp;$A57,'Production Data-Daily Input'!$D:$D),IF(SUMIF('Production Data-Weekly input'!$A:$A,$A57,'Production Data-Weekly input'!$C:$C)=0,0,SUMIF('Production Data-Weekly input'!$A:$A,$A57,'Production Data-Weekly input'!$C:$C)/100*7*$F57)))</f>
        <v/>
      </c>
      <c r="H57" s="279" t="str">
        <f>IF(AND(G57="",'Production Data-Weekly input'!C54=""),"",IF(G57="",'Production Data-Weekly input'!C54,G57/F57/7*100))</f>
        <v/>
      </c>
      <c r="I57" s="300" t="str">
        <f>Standard!D49</f>
        <v/>
      </c>
      <c r="J57" s="275">
        <f t="shared" si="6"/>
        <v>0</v>
      </c>
      <c r="K57" s="281" t="str">
        <f>IF(H57="","",J57/Data!F$37)</f>
        <v/>
      </c>
      <c r="L57" s="301" t="str">
        <f>Standard!F49</f>
        <v/>
      </c>
      <c r="M57" s="283" t="str">
        <f>IF(IF(SUMIF('Production Data-Daily Input'!$B:$B,"Total "&amp;$A57,'Production Data-Daily Input'!$G:$G)&lt;&gt;0,SUMIF('Production Data-Daily Input'!$B:$B,"Total "&amp;$A57,'Production Data-Daily Input'!$G:$G),IF(SUMIF('Production Data-Weekly input'!$A:$A,$A57,'Production Data-Weekly input'!$F:$F)="","",SUMIF('Production Data-Weekly input'!$A:$A,$A57,'Production Data-Weekly input'!$F:$F)))=0,"",IF(SUMIF('Production Data-Daily Input'!$B:$B,"Total "&amp;$A57,'Production Data-Daily Input'!$G:$G)&lt;&gt;0,SUMIF('Production Data-Daily Input'!$B:$B,"Total "&amp;$A57,'Production Data-Daily Input'!$G:$G),IF(SUMIF('Production Data-Weekly input'!$A:$A,$A57,'Production Data-Weekly input'!$F:$F)="","",SUMIF('Production Data-Weekly input'!$A:$A,$A57,'Production Data-Weekly input'!$F:$F))))</f>
        <v/>
      </c>
      <c r="N57" s="302" t="str">
        <f>Standard!G49</f>
        <v/>
      </c>
      <c r="O57" s="285" t="str">
        <f t="shared" si="8"/>
        <v/>
      </c>
      <c r="P57" s="303" t="str">
        <f>Standard!H49</f>
        <v/>
      </c>
      <c r="Q57" s="287" t="str">
        <f>IF(Q56="","",IF(AND(H57="",Q56=""),"",IF(O57="","",IF(M57="",IF(Q56="",0,Q56),(M57*H57/100*7*F57/Data!F$37)+IF(Q56="",0,Q56)))))</f>
        <v/>
      </c>
      <c r="R57" s="288" t="str">
        <f>Standard!I49</f>
        <v/>
      </c>
      <c r="S57" s="289" t="str">
        <f>IF(AND(F57="",Q57=""),"",IF(J57&lt;&gt;"",IF(Q57="","",Q57*Data!F$37/J57),""))</f>
        <v/>
      </c>
      <c r="T57" s="290" t="str">
        <f>Standard!J49</f>
        <v/>
      </c>
      <c r="U57" s="291" t="str">
        <f t="shared" si="1"/>
        <v/>
      </c>
      <c r="V57" s="292" t="str">
        <f>IF(F57="","",IF(SUMIF('Production Data-Weekly input'!$A:$A,A57,'Production Data-Weekly input'!$G:$G)&lt;&gt;0,SUMIF('Production Data-Weekly input'!$A:$A,A57,'Production Data-Weekly input'!$G:$G),(SUMIF('Production Data-Daily Input'!$B:$B,"Total "&amp;A57,'Production Data-Daily Input'!$H:$H)*1000/7/F57)))</f>
        <v/>
      </c>
      <c r="W57" s="293" t="str">
        <f t="shared" si="3"/>
        <v/>
      </c>
      <c r="X57" s="293" t="str">
        <f>IF(W57&lt;&gt;"",W57/Data!F$37*1000/((A57-16)*7),"")</f>
        <v/>
      </c>
      <c r="Y57" s="400" t="str">
        <f t="shared" si="9"/>
        <v/>
      </c>
      <c r="Z57" s="294" t="str">
        <f>IF(F57="","",IF(OR(Q57=0,Q57=""),"",IF(W57&lt;&gt;0,W57/(Q57*Data!F$37/1000),"")))</f>
        <v/>
      </c>
      <c r="AA57" s="295" t="str">
        <f>IF(AND(U57=0,SUMIF('Production Data-Weekly input'!$A:$A,$A57,'Production Data-Weekly input'!$H:$H)=0,SUMIF('Production Data-Daily Input'!$B:$B,"Total "&amp;A57,'Production Data-Daily Input'!$I:$I)=0),"",IF(F57="","",IF(SUMIF('Production Data-Weekly input'!$A:$A,$A57,'Production Data-Weekly input'!$H:$H)&lt;&gt;0,SUMIF('Production Data-Weekly input'!$A:$A,$A57,'Production Data-Weekly input'!$H:$H)*7/U57,SUMIF('Production Data-Daily Input'!$B:$B,"Total "&amp;A57,'Production Data-Daily Input'!$I:$I)*7/U57)))</f>
        <v/>
      </c>
      <c r="AB57" s="278">
        <f>SUMIF('Production Data-Daily Input'!$B:$B,"Total "&amp;$A57,'Production Data-Daily Input'!$E:$E)</f>
        <v>0</v>
      </c>
      <c r="AC57" s="296" t="str">
        <f>IF(F57="","",IF(G57&lt;&gt;0,IF(AB57&lt;&gt;0,AB57/G57,'Production Data-Weekly input'!D54/100),""))</f>
        <v/>
      </c>
      <c r="AD57" s="275">
        <f>SUMIF('Production Data-Daily Input'!$B:$B,"Total "&amp;$A57,'Production Data-Daily Input'!$F:$F)</f>
        <v>0</v>
      </c>
      <c r="AE57" s="296" t="str">
        <f>IF(F57="","",IF(G57&lt;&gt;0,IF(AD57&lt;&gt;0,AD57/G57,'Production Data-Weekly input'!E54/100),""))</f>
        <v/>
      </c>
      <c r="AF57" s="275">
        <f t="shared" si="5"/>
        <v>0</v>
      </c>
      <c r="AG57" s="297" t="str">
        <f t="shared" si="10"/>
        <v/>
      </c>
      <c r="AH57" s="298" t="str">
        <f>IF(AND(SUMIF('Production Data-Daily Input'!$B:$B,"Total "&amp;A57,'Production Data-Daily Input'!$J:$J)=0,SUMIF('Production Data-Weekly input'!$A:$A,A57,'Production Data-Weekly input'!$I:$I)=0),"",IF(SUMIF('Production Data-Daily Input'!$B:$B,"Total "&amp;A57,'Production Data-Daily Input'!$J:$J)&lt;&gt;0,SUMIF('Production Data-Daily Input'!$B:$B,"Total "&amp;A57,'Production Data-Daily Input'!$J:$J),SUMIF('Production Data-Weekly input'!$A:$A,A57,'Production Data-Weekly input'!$I:$I)))</f>
        <v/>
      </c>
    </row>
    <row r="58" spans="1:34" s="299" customFormat="1" ht="24.95" customHeight="1" x14ac:dyDescent="0.25">
      <c r="A58" s="273">
        <f t="shared" si="2"/>
        <v>60</v>
      </c>
      <c r="B58" s="429" t="str">
        <f>'Production Data-Daily Input'!B350</f>
        <v/>
      </c>
      <c r="C58" s="274" t="str">
        <f>IF(IF(AND(SUMIF('Production Data-Daily Input'!$B:$B,"Total "&amp;$A58,'Production Data-Daily Input'!$C:$C)="",SUMIF('Production Data-Weekly input'!$A:$A,A58,'Production Data-Weekly input'!$B:$B)=""),"",IF(SUMIF('Production Data-Daily Input'!$B:$B,"Total "&amp;$A58,'Production Data-Daily Input'!$C:$C)&lt;&gt;0,SUMIF('Production Data-Daily Input'!$B:$B,"Total "&amp;$A58,'Production Data-Daily Input'!$C:$C),SUMIF('Production Data-Weekly input'!$A:$A,A58,'Production Data-Weekly input'!$B:$B)/100*Data!$F$37))=0,"",IF(AND(SUMIF('Production Data-Daily Input'!$B:$B,"Total "&amp;$A58,'Production Data-Daily Input'!$C:$C)="",SUMIF('Production Data-Weekly input'!$A:$A,A58,'Production Data-Weekly input'!$B:$B)=""),"",IF(SUMIF('Production Data-Daily Input'!$B:$B,"Total "&amp;$A58,'Production Data-Daily Input'!$C:$C)&lt;&gt;0,SUMIF('Production Data-Daily Input'!$B:$B,"Total "&amp;$A58,'Production Data-Daily Input'!$C:$C),SUMIF('Production Data-Weekly input'!$A:$A,A58,'Production Data-Weekly input'!$B:$B)/100*Data!$F$37)))</f>
        <v/>
      </c>
      <c r="D58" s="275" t="str">
        <f>IF(AND(SUM(C58:$C$88)=0,SUMIF('Production Data-Daily Input'!$B:$B,"Total "&amp;$A58,'Production Data-Daily Input'!$D:$D)=0,SUMIF('Production Data-Weekly input'!$A:$A,$A58,'Production Data-Weekly input'!$C:$C)=0),"",IF(C58="",D57,C58+D57))</f>
        <v/>
      </c>
      <c r="E58" s="276" t="str">
        <f>IF(F58="","",F58/Data!F$37)</f>
        <v/>
      </c>
      <c r="F58" s="277" t="str">
        <f>IF(D58="","",Data!$F$37-D58)</f>
        <v/>
      </c>
      <c r="G58" s="278" t="str">
        <f>IF(F58="","",IF(SUMIF('Production Data-Daily Input'!$B:$B,"Total "&amp;$A58,'Production Data-Daily Input'!$D:$D)&lt;&gt;0,SUMIF('Production Data-Daily Input'!$B:$B,"Total "&amp;$A58,'Production Data-Daily Input'!$D:$D),IF(SUMIF('Production Data-Weekly input'!$A:$A,$A58,'Production Data-Weekly input'!$C:$C)=0,0,SUMIF('Production Data-Weekly input'!$A:$A,$A58,'Production Data-Weekly input'!$C:$C)/100*7*$F58)))</f>
        <v/>
      </c>
      <c r="H58" s="279" t="str">
        <f>IF(AND(G58="",'Production Data-Weekly input'!C55=""),"",IF(G58="",'Production Data-Weekly input'!C55,G58/F58/7*100))</f>
        <v/>
      </c>
      <c r="I58" s="300" t="str">
        <f>Standard!D50</f>
        <v/>
      </c>
      <c r="J58" s="275">
        <f t="shared" si="6"/>
        <v>0</v>
      </c>
      <c r="K58" s="281" t="str">
        <f>IF(H58="","",J58/Data!F$37)</f>
        <v/>
      </c>
      <c r="L58" s="301" t="str">
        <f>Standard!F50</f>
        <v/>
      </c>
      <c r="M58" s="283" t="str">
        <f>IF(IF(SUMIF('Production Data-Daily Input'!$B:$B,"Total "&amp;$A58,'Production Data-Daily Input'!$G:$G)&lt;&gt;0,SUMIF('Production Data-Daily Input'!$B:$B,"Total "&amp;$A58,'Production Data-Daily Input'!$G:$G),IF(SUMIF('Production Data-Weekly input'!$A:$A,$A58,'Production Data-Weekly input'!$F:$F)="","",SUMIF('Production Data-Weekly input'!$A:$A,$A58,'Production Data-Weekly input'!$F:$F)))=0,"",IF(SUMIF('Production Data-Daily Input'!$B:$B,"Total "&amp;$A58,'Production Data-Daily Input'!$G:$G)&lt;&gt;0,SUMIF('Production Data-Daily Input'!$B:$B,"Total "&amp;$A58,'Production Data-Daily Input'!$G:$G),IF(SUMIF('Production Data-Weekly input'!$A:$A,$A58,'Production Data-Weekly input'!$F:$F)="","",SUMIF('Production Data-Weekly input'!$A:$A,$A58,'Production Data-Weekly input'!$F:$F))))</f>
        <v/>
      </c>
      <c r="N58" s="302" t="str">
        <f>Standard!G50</f>
        <v/>
      </c>
      <c r="O58" s="285" t="str">
        <f t="shared" si="8"/>
        <v/>
      </c>
      <c r="P58" s="303" t="str">
        <f>Standard!H50</f>
        <v/>
      </c>
      <c r="Q58" s="287" t="str">
        <f>IF(Q57="","",IF(AND(H58="",Q57=""),"",IF(O58="","",IF(M58="",IF(Q57="",0,Q57),(M58*H58/100*7*F58/Data!F$37)+IF(Q57="",0,Q57)))))</f>
        <v/>
      </c>
      <c r="R58" s="288" t="str">
        <f>Standard!I50</f>
        <v/>
      </c>
      <c r="S58" s="289" t="str">
        <f>IF(AND(F58="",Q58=""),"",IF(J58&lt;&gt;"",IF(Q58="","",Q58*Data!F$37/J58),""))</f>
        <v/>
      </c>
      <c r="T58" s="290" t="str">
        <f>Standard!J50</f>
        <v/>
      </c>
      <c r="U58" s="291" t="str">
        <f t="shared" si="1"/>
        <v/>
      </c>
      <c r="V58" s="292" t="str">
        <f>IF(F58="","",IF(SUMIF('Production Data-Weekly input'!$A:$A,A58,'Production Data-Weekly input'!$G:$G)&lt;&gt;0,SUMIF('Production Data-Weekly input'!$A:$A,A58,'Production Data-Weekly input'!$G:$G),(SUMIF('Production Data-Daily Input'!$B:$B,"Total "&amp;A58,'Production Data-Daily Input'!$H:$H)*1000/7/F58)))</f>
        <v/>
      </c>
      <c r="W58" s="293" t="str">
        <f t="shared" si="3"/>
        <v/>
      </c>
      <c r="X58" s="293" t="str">
        <f>IF(W58&lt;&gt;"",W58/Data!F$37*1000/((A58-16)*7),"")</f>
        <v/>
      </c>
      <c r="Y58" s="400" t="str">
        <f t="shared" si="9"/>
        <v/>
      </c>
      <c r="Z58" s="294" t="str">
        <f>IF(F58="","",IF(OR(Q58=0,Q58=""),"",IF(W58&lt;&gt;0,W58/(Q58*Data!F$37/1000),"")))</f>
        <v/>
      </c>
      <c r="AA58" s="295" t="str">
        <f>IF(AND(U58=0,SUMIF('Production Data-Weekly input'!$A:$A,$A58,'Production Data-Weekly input'!$H:$H)=0,SUMIF('Production Data-Daily Input'!$B:$B,"Total "&amp;A58,'Production Data-Daily Input'!$I:$I)=0),"",IF(F58="","",IF(SUMIF('Production Data-Weekly input'!$A:$A,$A58,'Production Data-Weekly input'!$H:$H)&lt;&gt;0,SUMIF('Production Data-Weekly input'!$A:$A,$A58,'Production Data-Weekly input'!$H:$H)*7/U58,SUMIF('Production Data-Daily Input'!$B:$B,"Total "&amp;A58,'Production Data-Daily Input'!$I:$I)*7/U58)))</f>
        <v/>
      </c>
      <c r="AB58" s="278">
        <f>SUMIF('Production Data-Daily Input'!$B:$B,"Total "&amp;$A58,'Production Data-Daily Input'!$E:$E)</f>
        <v>0</v>
      </c>
      <c r="AC58" s="296" t="str">
        <f>IF(F58="","",IF(G58&lt;&gt;0,IF(AB58&lt;&gt;0,AB58/G58,'Production Data-Weekly input'!D55/100),""))</f>
        <v/>
      </c>
      <c r="AD58" s="275">
        <f>SUMIF('Production Data-Daily Input'!$B:$B,"Total "&amp;$A58,'Production Data-Daily Input'!$F:$F)</f>
        <v>0</v>
      </c>
      <c r="AE58" s="296" t="str">
        <f>IF(F58="","",IF(G58&lt;&gt;0,IF(AD58&lt;&gt;0,AD58/G58,'Production Data-Weekly input'!E55/100),""))</f>
        <v/>
      </c>
      <c r="AF58" s="275">
        <f t="shared" si="5"/>
        <v>0</v>
      </c>
      <c r="AG58" s="297" t="str">
        <f t="shared" si="10"/>
        <v/>
      </c>
      <c r="AH58" s="298" t="str">
        <f>IF(AND(SUMIF('Production Data-Daily Input'!$B:$B,"Total "&amp;A58,'Production Data-Daily Input'!$J:$J)=0,SUMIF('Production Data-Weekly input'!$A:$A,A58,'Production Data-Weekly input'!$I:$I)=0),"",IF(SUMIF('Production Data-Daily Input'!$B:$B,"Total "&amp;A58,'Production Data-Daily Input'!$J:$J)&lt;&gt;0,SUMIF('Production Data-Daily Input'!$B:$B,"Total "&amp;A58,'Production Data-Daily Input'!$J:$J),SUMIF('Production Data-Weekly input'!$A:$A,A58,'Production Data-Weekly input'!$I:$I)))</f>
        <v/>
      </c>
    </row>
    <row r="59" spans="1:34" s="299" customFormat="1" ht="24.95" customHeight="1" x14ac:dyDescent="0.25">
      <c r="A59" s="273">
        <f t="shared" si="2"/>
        <v>61</v>
      </c>
      <c r="B59" s="429" t="str">
        <f>'Production Data-Daily Input'!B358</f>
        <v/>
      </c>
      <c r="C59" s="274" t="str">
        <f>IF(IF(AND(SUMIF('Production Data-Daily Input'!$B:$B,"Total "&amp;$A59,'Production Data-Daily Input'!$C:$C)="",SUMIF('Production Data-Weekly input'!$A:$A,A59,'Production Data-Weekly input'!$B:$B)=""),"",IF(SUMIF('Production Data-Daily Input'!$B:$B,"Total "&amp;$A59,'Production Data-Daily Input'!$C:$C)&lt;&gt;0,SUMIF('Production Data-Daily Input'!$B:$B,"Total "&amp;$A59,'Production Data-Daily Input'!$C:$C),SUMIF('Production Data-Weekly input'!$A:$A,A59,'Production Data-Weekly input'!$B:$B)/100*Data!$F$37))=0,"",IF(AND(SUMIF('Production Data-Daily Input'!$B:$B,"Total "&amp;$A59,'Production Data-Daily Input'!$C:$C)="",SUMIF('Production Data-Weekly input'!$A:$A,A59,'Production Data-Weekly input'!$B:$B)=""),"",IF(SUMIF('Production Data-Daily Input'!$B:$B,"Total "&amp;$A59,'Production Data-Daily Input'!$C:$C)&lt;&gt;0,SUMIF('Production Data-Daily Input'!$B:$B,"Total "&amp;$A59,'Production Data-Daily Input'!$C:$C),SUMIF('Production Data-Weekly input'!$A:$A,A59,'Production Data-Weekly input'!$B:$B)/100*Data!$F$37)))</f>
        <v/>
      </c>
      <c r="D59" s="275" t="str">
        <f>IF(AND(SUM(C59:$C$88)=0,SUMIF('Production Data-Daily Input'!$B:$B,"Total "&amp;$A59,'Production Data-Daily Input'!$D:$D)=0,SUMIF('Production Data-Weekly input'!$A:$A,$A59,'Production Data-Weekly input'!$C:$C)=0),"",IF(C59="",D58,C59+D58))</f>
        <v/>
      </c>
      <c r="E59" s="276" t="str">
        <f>IF(F59="","",F59/Data!F$37)</f>
        <v/>
      </c>
      <c r="F59" s="277" t="str">
        <f>IF(D59="","",Data!$F$37-D59)</f>
        <v/>
      </c>
      <c r="G59" s="278" t="str">
        <f>IF(F59="","",IF(SUMIF('Production Data-Daily Input'!$B:$B,"Total "&amp;$A59,'Production Data-Daily Input'!$D:$D)&lt;&gt;0,SUMIF('Production Data-Daily Input'!$B:$B,"Total "&amp;$A59,'Production Data-Daily Input'!$D:$D),IF(SUMIF('Production Data-Weekly input'!$A:$A,$A59,'Production Data-Weekly input'!$C:$C)=0,0,SUMIF('Production Data-Weekly input'!$A:$A,$A59,'Production Data-Weekly input'!$C:$C)/100*7*$F59)))</f>
        <v/>
      </c>
      <c r="H59" s="279" t="str">
        <f>IF(AND(G59="",'Production Data-Weekly input'!C56=""),"",IF(G59="",'Production Data-Weekly input'!C56,G59/F59/7*100))</f>
        <v/>
      </c>
      <c r="I59" s="300" t="str">
        <f>Standard!D51</f>
        <v/>
      </c>
      <c r="J59" s="275">
        <f t="shared" si="6"/>
        <v>0</v>
      </c>
      <c r="K59" s="281" t="str">
        <f>IF(H59="","",J59/Data!F$37)</f>
        <v/>
      </c>
      <c r="L59" s="301" t="str">
        <f>Standard!F51</f>
        <v/>
      </c>
      <c r="M59" s="283" t="str">
        <f>IF(IF(SUMIF('Production Data-Daily Input'!$B:$B,"Total "&amp;$A59,'Production Data-Daily Input'!$G:$G)&lt;&gt;0,SUMIF('Production Data-Daily Input'!$B:$B,"Total "&amp;$A59,'Production Data-Daily Input'!$G:$G),IF(SUMIF('Production Data-Weekly input'!$A:$A,$A59,'Production Data-Weekly input'!$F:$F)="","",SUMIF('Production Data-Weekly input'!$A:$A,$A59,'Production Data-Weekly input'!$F:$F)))=0,"",IF(SUMIF('Production Data-Daily Input'!$B:$B,"Total "&amp;$A59,'Production Data-Daily Input'!$G:$G)&lt;&gt;0,SUMIF('Production Data-Daily Input'!$B:$B,"Total "&amp;$A59,'Production Data-Daily Input'!$G:$G),IF(SUMIF('Production Data-Weekly input'!$A:$A,$A59,'Production Data-Weekly input'!$F:$F)="","",SUMIF('Production Data-Weekly input'!$A:$A,$A59,'Production Data-Weekly input'!$F:$F))))</f>
        <v/>
      </c>
      <c r="N59" s="302" t="str">
        <f>Standard!G51</f>
        <v/>
      </c>
      <c r="O59" s="285" t="str">
        <f t="shared" si="8"/>
        <v/>
      </c>
      <c r="P59" s="303" t="str">
        <f>Standard!H51</f>
        <v/>
      </c>
      <c r="Q59" s="287" t="str">
        <f>IF(Q58="","",IF(AND(H59="",Q58=""),"",IF(O59="","",IF(M59="",IF(Q58="",0,Q58),(M59*H59/100*7*F59/Data!F$37)+IF(Q58="",0,Q58)))))</f>
        <v/>
      </c>
      <c r="R59" s="288" t="str">
        <f>Standard!I51</f>
        <v/>
      </c>
      <c r="S59" s="289" t="str">
        <f>IF(AND(F59="",Q59=""),"",IF(J59&lt;&gt;"",IF(Q59="","",Q59*Data!F$37/J59),""))</f>
        <v/>
      </c>
      <c r="T59" s="290" t="str">
        <f>Standard!J51</f>
        <v/>
      </c>
      <c r="U59" s="291" t="str">
        <f t="shared" si="1"/>
        <v/>
      </c>
      <c r="V59" s="292" t="str">
        <f>IF(F59="","",IF(SUMIF('Production Data-Weekly input'!$A:$A,A59,'Production Data-Weekly input'!$G:$G)&lt;&gt;0,SUMIF('Production Data-Weekly input'!$A:$A,A59,'Production Data-Weekly input'!$G:$G),(SUMIF('Production Data-Daily Input'!$B:$B,"Total "&amp;A59,'Production Data-Daily Input'!$H:$H)*1000/7/F59)))</f>
        <v/>
      </c>
      <c r="W59" s="293" t="str">
        <f t="shared" si="3"/>
        <v/>
      </c>
      <c r="X59" s="293" t="str">
        <f>IF(W59&lt;&gt;"",W59/Data!F$37*1000/((A59-16)*7),"")</f>
        <v/>
      </c>
      <c r="Y59" s="400" t="str">
        <f t="shared" si="9"/>
        <v/>
      </c>
      <c r="Z59" s="294" t="str">
        <f>IF(F59="","",IF(OR(Q59=0,Q59=""),"",IF(W59&lt;&gt;0,W59/(Q59*Data!F$37/1000),"")))</f>
        <v/>
      </c>
      <c r="AA59" s="295" t="str">
        <f>IF(AND(U59=0,SUMIF('Production Data-Weekly input'!$A:$A,$A59,'Production Data-Weekly input'!$H:$H)=0,SUMIF('Production Data-Daily Input'!$B:$B,"Total "&amp;A59,'Production Data-Daily Input'!$I:$I)=0),"",IF(F59="","",IF(SUMIF('Production Data-Weekly input'!$A:$A,$A59,'Production Data-Weekly input'!$H:$H)&lt;&gt;0,SUMIF('Production Data-Weekly input'!$A:$A,$A59,'Production Data-Weekly input'!$H:$H)*7/U59,SUMIF('Production Data-Daily Input'!$B:$B,"Total "&amp;A59,'Production Data-Daily Input'!$I:$I)*7/U59)))</f>
        <v/>
      </c>
      <c r="AB59" s="278">
        <f>SUMIF('Production Data-Daily Input'!$B:$B,"Total "&amp;$A59,'Production Data-Daily Input'!$E:$E)</f>
        <v>0</v>
      </c>
      <c r="AC59" s="296" t="str">
        <f>IF(F59="","",IF(G59&lt;&gt;0,IF(AB59&lt;&gt;0,AB59/G59,'Production Data-Weekly input'!D56/100),""))</f>
        <v/>
      </c>
      <c r="AD59" s="275">
        <f>SUMIF('Production Data-Daily Input'!$B:$B,"Total "&amp;$A59,'Production Data-Daily Input'!$F:$F)</f>
        <v>0</v>
      </c>
      <c r="AE59" s="296" t="str">
        <f>IF(F59="","",IF(G59&lt;&gt;0,IF(AD59&lt;&gt;0,AD59/G59,'Production Data-Weekly input'!E56/100),""))</f>
        <v/>
      </c>
      <c r="AF59" s="275">
        <f t="shared" si="5"/>
        <v>0</v>
      </c>
      <c r="AG59" s="297" t="str">
        <f t="shared" si="10"/>
        <v/>
      </c>
      <c r="AH59" s="298" t="str">
        <f>IF(AND(SUMIF('Production Data-Daily Input'!$B:$B,"Total "&amp;A59,'Production Data-Daily Input'!$J:$J)=0,SUMIF('Production Data-Weekly input'!$A:$A,A59,'Production Data-Weekly input'!$I:$I)=0),"",IF(SUMIF('Production Data-Daily Input'!$B:$B,"Total "&amp;A59,'Production Data-Daily Input'!$J:$J)&lt;&gt;0,SUMIF('Production Data-Daily Input'!$B:$B,"Total "&amp;A59,'Production Data-Daily Input'!$J:$J),SUMIF('Production Data-Weekly input'!$A:$A,A59,'Production Data-Weekly input'!$I:$I)))</f>
        <v/>
      </c>
    </row>
    <row r="60" spans="1:34" s="299" customFormat="1" ht="24.95" customHeight="1" x14ac:dyDescent="0.25">
      <c r="A60" s="273">
        <f t="shared" si="2"/>
        <v>62</v>
      </c>
      <c r="B60" s="429" t="str">
        <f>'Production Data-Daily Input'!B366</f>
        <v/>
      </c>
      <c r="C60" s="274" t="str">
        <f>IF(IF(AND(SUMIF('Production Data-Daily Input'!$B:$B,"Total "&amp;$A60,'Production Data-Daily Input'!$C:$C)="",SUMIF('Production Data-Weekly input'!$A:$A,A60,'Production Data-Weekly input'!$B:$B)=""),"",IF(SUMIF('Production Data-Daily Input'!$B:$B,"Total "&amp;$A60,'Production Data-Daily Input'!$C:$C)&lt;&gt;0,SUMIF('Production Data-Daily Input'!$B:$B,"Total "&amp;$A60,'Production Data-Daily Input'!$C:$C),SUMIF('Production Data-Weekly input'!$A:$A,A60,'Production Data-Weekly input'!$B:$B)/100*Data!$F$37))=0,"",IF(AND(SUMIF('Production Data-Daily Input'!$B:$B,"Total "&amp;$A60,'Production Data-Daily Input'!$C:$C)="",SUMIF('Production Data-Weekly input'!$A:$A,A60,'Production Data-Weekly input'!$B:$B)=""),"",IF(SUMIF('Production Data-Daily Input'!$B:$B,"Total "&amp;$A60,'Production Data-Daily Input'!$C:$C)&lt;&gt;0,SUMIF('Production Data-Daily Input'!$B:$B,"Total "&amp;$A60,'Production Data-Daily Input'!$C:$C),SUMIF('Production Data-Weekly input'!$A:$A,A60,'Production Data-Weekly input'!$B:$B)/100*Data!$F$37)))</f>
        <v/>
      </c>
      <c r="D60" s="275" t="str">
        <f>IF(AND(SUM(C60:$C$88)=0,SUMIF('Production Data-Daily Input'!$B:$B,"Total "&amp;$A60,'Production Data-Daily Input'!$D:$D)=0,SUMIF('Production Data-Weekly input'!$A:$A,$A60,'Production Data-Weekly input'!$C:$C)=0),"",IF(C60="",D59,C60+D59))</f>
        <v/>
      </c>
      <c r="E60" s="276" t="str">
        <f>IF(F60="","",F60/Data!F$37)</f>
        <v/>
      </c>
      <c r="F60" s="277" t="str">
        <f>IF(D60="","",Data!$F$37-D60)</f>
        <v/>
      </c>
      <c r="G60" s="278" t="str">
        <f>IF(F60="","",IF(SUMIF('Production Data-Daily Input'!$B:$B,"Total "&amp;$A60,'Production Data-Daily Input'!$D:$D)&lt;&gt;0,SUMIF('Production Data-Daily Input'!$B:$B,"Total "&amp;$A60,'Production Data-Daily Input'!$D:$D),IF(SUMIF('Production Data-Weekly input'!$A:$A,$A60,'Production Data-Weekly input'!$C:$C)=0,0,SUMIF('Production Data-Weekly input'!$A:$A,$A60,'Production Data-Weekly input'!$C:$C)/100*7*$F60)))</f>
        <v/>
      </c>
      <c r="H60" s="279" t="str">
        <f>IF(AND(G60="",'Production Data-Weekly input'!C57=""),"",IF(G60="",'Production Data-Weekly input'!C57,G60/F60/7*100))</f>
        <v/>
      </c>
      <c r="I60" s="300" t="str">
        <f>Standard!D52</f>
        <v/>
      </c>
      <c r="J60" s="275">
        <f t="shared" si="6"/>
        <v>0</v>
      </c>
      <c r="K60" s="281" t="str">
        <f>IF(H60="","",J60/Data!F$37)</f>
        <v/>
      </c>
      <c r="L60" s="301" t="str">
        <f>Standard!F52</f>
        <v/>
      </c>
      <c r="M60" s="283" t="str">
        <f>IF(IF(SUMIF('Production Data-Daily Input'!$B:$B,"Total "&amp;$A60,'Production Data-Daily Input'!$G:$G)&lt;&gt;0,SUMIF('Production Data-Daily Input'!$B:$B,"Total "&amp;$A60,'Production Data-Daily Input'!$G:$G),IF(SUMIF('Production Data-Weekly input'!$A:$A,$A60,'Production Data-Weekly input'!$F:$F)="","",SUMIF('Production Data-Weekly input'!$A:$A,$A60,'Production Data-Weekly input'!$F:$F)))=0,"",IF(SUMIF('Production Data-Daily Input'!$B:$B,"Total "&amp;$A60,'Production Data-Daily Input'!$G:$G)&lt;&gt;0,SUMIF('Production Data-Daily Input'!$B:$B,"Total "&amp;$A60,'Production Data-Daily Input'!$G:$G),IF(SUMIF('Production Data-Weekly input'!$A:$A,$A60,'Production Data-Weekly input'!$F:$F)="","",SUMIF('Production Data-Weekly input'!$A:$A,$A60,'Production Data-Weekly input'!$F:$F))))</f>
        <v/>
      </c>
      <c r="N60" s="302" t="str">
        <f>Standard!G52</f>
        <v/>
      </c>
      <c r="O60" s="285" t="str">
        <f t="shared" si="8"/>
        <v/>
      </c>
      <c r="P60" s="303" t="str">
        <f>Standard!H52</f>
        <v/>
      </c>
      <c r="Q60" s="287" t="str">
        <f>IF(Q59="","",IF(AND(H60="",Q59=""),"",IF(O60="","",IF(M60="",IF(Q59="",0,Q59),(M60*H60/100*7*F60/Data!F$37)+IF(Q59="",0,Q59)))))</f>
        <v/>
      </c>
      <c r="R60" s="288" t="str">
        <f>Standard!I52</f>
        <v/>
      </c>
      <c r="S60" s="289" t="str">
        <f>IF(AND(F60="",Q60=""),"",IF(J60&lt;&gt;"",IF(Q60="","",Q60*Data!F$37/J60),""))</f>
        <v/>
      </c>
      <c r="T60" s="290" t="str">
        <f>Standard!J52</f>
        <v/>
      </c>
      <c r="U60" s="291" t="str">
        <f t="shared" si="1"/>
        <v/>
      </c>
      <c r="V60" s="292" t="str">
        <f>IF(F60="","",IF(SUMIF('Production Data-Weekly input'!$A:$A,A60,'Production Data-Weekly input'!$G:$G)&lt;&gt;0,SUMIF('Production Data-Weekly input'!$A:$A,A60,'Production Data-Weekly input'!$G:$G),(SUMIF('Production Data-Daily Input'!$B:$B,"Total "&amp;A60,'Production Data-Daily Input'!$H:$H)*1000/7/F60)))</f>
        <v/>
      </c>
      <c r="W60" s="293" t="str">
        <f t="shared" si="3"/>
        <v/>
      </c>
      <c r="X60" s="293" t="str">
        <f>IF(W60&lt;&gt;"",W60/Data!F$37*1000/((A60-16)*7),"")</f>
        <v/>
      </c>
      <c r="Y60" s="400" t="str">
        <f t="shared" si="9"/>
        <v/>
      </c>
      <c r="Z60" s="294" t="str">
        <f>IF(F60="","",IF(OR(Q60=0,Q60=""),"",IF(W60&lt;&gt;0,W60/(Q60*Data!F$37/1000),"")))</f>
        <v/>
      </c>
      <c r="AA60" s="295" t="str">
        <f>IF(AND(U60=0,SUMIF('Production Data-Weekly input'!$A:$A,$A60,'Production Data-Weekly input'!$H:$H)=0,SUMIF('Production Data-Daily Input'!$B:$B,"Total "&amp;A60,'Production Data-Daily Input'!$I:$I)=0),"",IF(F60="","",IF(SUMIF('Production Data-Weekly input'!$A:$A,$A60,'Production Data-Weekly input'!$H:$H)&lt;&gt;0,SUMIF('Production Data-Weekly input'!$A:$A,$A60,'Production Data-Weekly input'!$H:$H)*7/U60,SUMIF('Production Data-Daily Input'!$B:$B,"Total "&amp;A60,'Production Data-Daily Input'!$I:$I)*7/U60)))</f>
        <v/>
      </c>
      <c r="AB60" s="278">
        <f>SUMIF('Production Data-Daily Input'!$B:$B,"Total "&amp;$A60,'Production Data-Daily Input'!$E:$E)</f>
        <v>0</v>
      </c>
      <c r="AC60" s="296" t="str">
        <f>IF(F60="","",IF(G60&lt;&gt;0,IF(AB60&lt;&gt;0,AB60/G60,'Production Data-Weekly input'!D57/100),""))</f>
        <v/>
      </c>
      <c r="AD60" s="275">
        <f>SUMIF('Production Data-Daily Input'!$B:$B,"Total "&amp;$A60,'Production Data-Daily Input'!$F:$F)</f>
        <v>0</v>
      </c>
      <c r="AE60" s="296" t="str">
        <f>IF(F60="","",IF(G60&lt;&gt;0,IF(AD60&lt;&gt;0,AD60/G60,'Production Data-Weekly input'!E57/100),""))</f>
        <v/>
      </c>
      <c r="AF60" s="275">
        <f t="shared" si="5"/>
        <v>0</v>
      </c>
      <c r="AG60" s="297" t="str">
        <f t="shared" si="10"/>
        <v/>
      </c>
      <c r="AH60" s="298" t="str">
        <f>IF(AND(SUMIF('Production Data-Daily Input'!$B:$B,"Total "&amp;A60,'Production Data-Daily Input'!$J:$J)=0,SUMIF('Production Data-Weekly input'!$A:$A,A60,'Production Data-Weekly input'!$I:$I)=0),"",IF(SUMIF('Production Data-Daily Input'!$B:$B,"Total "&amp;A60,'Production Data-Daily Input'!$J:$J)&lt;&gt;0,SUMIF('Production Data-Daily Input'!$B:$B,"Total "&amp;A60,'Production Data-Daily Input'!$J:$J),SUMIF('Production Data-Weekly input'!$A:$A,A60,'Production Data-Weekly input'!$I:$I)))</f>
        <v/>
      </c>
    </row>
    <row r="61" spans="1:34" s="299" customFormat="1" ht="24.95" customHeight="1" x14ac:dyDescent="0.25">
      <c r="A61" s="273">
        <f t="shared" si="2"/>
        <v>63</v>
      </c>
      <c r="B61" s="429" t="str">
        <f>'Production Data-Daily Input'!B374</f>
        <v/>
      </c>
      <c r="C61" s="274" t="str">
        <f>IF(IF(AND(SUMIF('Production Data-Daily Input'!$B:$B,"Total "&amp;$A61,'Production Data-Daily Input'!$C:$C)="",SUMIF('Production Data-Weekly input'!$A:$A,A61,'Production Data-Weekly input'!$B:$B)=""),"",IF(SUMIF('Production Data-Daily Input'!$B:$B,"Total "&amp;$A61,'Production Data-Daily Input'!$C:$C)&lt;&gt;0,SUMIF('Production Data-Daily Input'!$B:$B,"Total "&amp;$A61,'Production Data-Daily Input'!$C:$C),SUMIF('Production Data-Weekly input'!$A:$A,A61,'Production Data-Weekly input'!$B:$B)/100*Data!$F$37))=0,"",IF(AND(SUMIF('Production Data-Daily Input'!$B:$B,"Total "&amp;$A61,'Production Data-Daily Input'!$C:$C)="",SUMIF('Production Data-Weekly input'!$A:$A,A61,'Production Data-Weekly input'!$B:$B)=""),"",IF(SUMIF('Production Data-Daily Input'!$B:$B,"Total "&amp;$A61,'Production Data-Daily Input'!$C:$C)&lt;&gt;0,SUMIF('Production Data-Daily Input'!$B:$B,"Total "&amp;$A61,'Production Data-Daily Input'!$C:$C),SUMIF('Production Data-Weekly input'!$A:$A,A61,'Production Data-Weekly input'!$B:$B)/100*Data!$F$37)))</f>
        <v/>
      </c>
      <c r="D61" s="275" t="str">
        <f>IF(AND(SUM(C61:$C$88)=0,SUMIF('Production Data-Daily Input'!$B:$B,"Total "&amp;$A61,'Production Data-Daily Input'!$D:$D)=0,SUMIF('Production Data-Weekly input'!$A:$A,$A61,'Production Data-Weekly input'!$C:$C)=0),"",IF(C61="",D60,C61+D60))</f>
        <v/>
      </c>
      <c r="E61" s="276" t="str">
        <f>IF(F61="","",F61/Data!F$37)</f>
        <v/>
      </c>
      <c r="F61" s="277" t="str">
        <f>IF(D61="","",Data!$F$37-D61)</f>
        <v/>
      </c>
      <c r="G61" s="278" t="str">
        <f>IF(F61="","",IF(SUMIF('Production Data-Daily Input'!$B:$B,"Total "&amp;$A61,'Production Data-Daily Input'!$D:$D)&lt;&gt;0,SUMIF('Production Data-Daily Input'!$B:$B,"Total "&amp;$A61,'Production Data-Daily Input'!$D:$D),IF(SUMIF('Production Data-Weekly input'!$A:$A,$A61,'Production Data-Weekly input'!$C:$C)=0,0,SUMIF('Production Data-Weekly input'!$A:$A,$A61,'Production Data-Weekly input'!$C:$C)/100*7*$F61)))</f>
        <v/>
      </c>
      <c r="H61" s="279" t="str">
        <f>IF(AND(G61="",'Production Data-Weekly input'!C58=""),"",IF(G61="",'Production Data-Weekly input'!C58,G61/F61/7*100))</f>
        <v/>
      </c>
      <c r="I61" s="300" t="str">
        <f>Standard!D53</f>
        <v/>
      </c>
      <c r="J61" s="275">
        <f t="shared" si="6"/>
        <v>0</v>
      </c>
      <c r="K61" s="281" t="str">
        <f>IF(H61="","",J61/Data!F$37)</f>
        <v/>
      </c>
      <c r="L61" s="301" t="str">
        <f>Standard!F53</f>
        <v/>
      </c>
      <c r="M61" s="283" t="str">
        <f>IF(IF(SUMIF('Production Data-Daily Input'!$B:$B,"Total "&amp;$A61,'Production Data-Daily Input'!$G:$G)&lt;&gt;0,SUMIF('Production Data-Daily Input'!$B:$B,"Total "&amp;$A61,'Production Data-Daily Input'!$G:$G),IF(SUMIF('Production Data-Weekly input'!$A:$A,$A61,'Production Data-Weekly input'!$F:$F)="","",SUMIF('Production Data-Weekly input'!$A:$A,$A61,'Production Data-Weekly input'!$F:$F)))=0,"",IF(SUMIF('Production Data-Daily Input'!$B:$B,"Total "&amp;$A61,'Production Data-Daily Input'!$G:$G)&lt;&gt;0,SUMIF('Production Data-Daily Input'!$B:$B,"Total "&amp;$A61,'Production Data-Daily Input'!$G:$G),IF(SUMIF('Production Data-Weekly input'!$A:$A,$A61,'Production Data-Weekly input'!$F:$F)="","",SUMIF('Production Data-Weekly input'!$A:$A,$A61,'Production Data-Weekly input'!$F:$F))))</f>
        <v/>
      </c>
      <c r="N61" s="302" t="str">
        <f>Standard!G53</f>
        <v/>
      </c>
      <c r="O61" s="285" t="str">
        <f t="shared" si="8"/>
        <v/>
      </c>
      <c r="P61" s="303" t="str">
        <f>Standard!H53</f>
        <v/>
      </c>
      <c r="Q61" s="287" t="str">
        <f>IF(Q60="","",IF(AND(H61="",Q60=""),"",IF(O61="","",IF(M61="",IF(Q60="",0,Q60),(M61*H61/100*7*F61/Data!F$37)+IF(Q60="",0,Q60)))))</f>
        <v/>
      </c>
      <c r="R61" s="288" t="str">
        <f>Standard!I53</f>
        <v/>
      </c>
      <c r="S61" s="289" t="str">
        <f>IF(AND(F61="",Q61=""),"",IF(J61&lt;&gt;"",IF(Q61="","",Q61*Data!F$37/J61),""))</f>
        <v/>
      </c>
      <c r="T61" s="290" t="str">
        <f>Standard!J53</f>
        <v/>
      </c>
      <c r="U61" s="291" t="str">
        <f t="shared" si="1"/>
        <v/>
      </c>
      <c r="V61" s="292" t="str">
        <f>IF(F61="","",IF(SUMIF('Production Data-Weekly input'!$A:$A,A61,'Production Data-Weekly input'!$G:$G)&lt;&gt;0,SUMIF('Production Data-Weekly input'!$A:$A,A61,'Production Data-Weekly input'!$G:$G),(SUMIF('Production Data-Daily Input'!$B:$B,"Total "&amp;A61,'Production Data-Daily Input'!$H:$H)*1000/7/F61)))</f>
        <v/>
      </c>
      <c r="W61" s="293" t="str">
        <f t="shared" si="3"/>
        <v/>
      </c>
      <c r="X61" s="293" t="str">
        <f>IF(W61&lt;&gt;"",W61/Data!F$37*1000/((A61-16)*7),"")</f>
        <v/>
      </c>
      <c r="Y61" s="400" t="str">
        <f t="shared" si="9"/>
        <v/>
      </c>
      <c r="Z61" s="294" t="str">
        <f>IF(F61="","",IF(OR(Q61=0,Q61=""),"",IF(W61&lt;&gt;0,W61/(Q61*Data!F$37/1000),"")))</f>
        <v/>
      </c>
      <c r="AA61" s="295" t="str">
        <f>IF(AND(U61=0,SUMIF('Production Data-Weekly input'!$A:$A,$A61,'Production Data-Weekly input'!$H:$H)=0,SUMIF('Production Data-Daily Input'!$B:$B,"Total "&amp;A61,'Production Data-Daily Input'!$I:$I)=0),"",IF(F61="","",IF(SUMIF('Production Data-Weekly input'!$A:$A,$A61,'Production Data-Weekly input'!$H:$H)&lt;&gt;0,SUMIF('Production Data-Weekly input'!$A:$A,$A61,'Production Data-Weekly input'!$H:$H)*7/U61,SUMIF('Production Data-Daily Input'!$B:$B,"Total "&amp;A61,'Production Data-Daily Input'!$I:$I)*7/U61)))</f>
        <v/>
      </c>
      <c r="AB61" s="278">
        <f>SUMIF('Production Data-Daily Input'!$B:$B,"Total "&amp;$A61,'Production Data-Daily Input'!$E:$E)</f>
        <v>0</v>
      </c>
      <c r="AC61" s="296" t="str">
        <f>IF(F61="","",IF(G61&lt;&gt;0,IF(AB61&lt;&gt;0,AB61/G61,'Production Data-Weekly input'!D58/100),""))</f>
        <v/>
      </c>
      <c r="AD61" s="275">
        <f>SUMIF('Production Data-Daily Input'!$B:$B,"Total "&amp;$A61,'Production Data-Daily Input'!$F:$F)</f>
        <v>0</v>
      </c>
      <c r="AE61" s="296" t="str">
        <f>IF(F61="","",IF(G61&lt;&gt;0,IF(AD61&lt;&gt;0,AD61/G61,'Production Data-Weekly input'!E58/100),""))</f>
        <v/>
      </c>
      <c r="AF61" s="275">
        <f t="shared" si="5"/>
        <v>0</v>
      </c>
      <c r="AG61" s="297" t="str">
        <f t="shared" si="10"/>
        <v/>
      </c>
      <c r="AH61" s="298" t="str">
        <f>IF(AND(SUMIF('Production Data-Daily Input'!$B:$B,"Total "&amp;A61,'Production Data-Daily Input'!$J:$J)=0,SUMIF('Production Data-Weekly input'!$A:$A,A61,'Production Data-Weekly input'!$I:$I)=0),"",IF(SUMIF('Production Data-Daily Input'!$B:$B,"Total "&amp;A61,'Production Data-Daily Input'!$J:$J)&lt;&gt;0,SUMIF('Production Data-Daily Input'!$B:$B,"Total "&amp;A61,'Production Data-Daily Input'!$J:$J),SUMIF('Production Data-Weekly input'!$A:$A,A61,'Production Data-Weekly input'!$I:$I)))</f>
        <v/>
      </c>
    </row>
    <row r="62" spans="1:34" s="299" customFormat="1" ht="24.95" customHeight="1" x14ac:dyDescent="0.25">
      <c r="A62" s="273">
        <f t="shared" si="2"/>
        <v>64</v>
      </c>
      <c r="B62" s="429" t="str">
        <f>'Production Data-Daily Input'!B382</f>
        <v/>
      </c>
      <c r="C62" s="274" t="str">
        <f>IF(IF(AND(SUMIF('Production Data-Daily Input'!$B:$B,"Total "&amp;$A62,'Production Data-Daily Input'!$C:$C)="",SUMIF('Production Data-Weekly input'!$A:$A,A62,'Production Data-Weekly input'!$B:$B)=""),"",IF(SUMIF('Production Data-Daily Input'!$B:$B,"Total "&amp;$A62,'Production Data-Daily Input'!$C:$C)&lt;&gt;0,SUMIF('Production Data-Daily Input'!$B:$B,"Total "&amp;$A62,'Production Data-Daily Input'!$C:$C),SUMIF('Production Data-Weekly input'!$A:$A,A62,'Production Data-Weekly input'!$B:$B)/100*Data!$F$37))=0,"",IF(AND(SUMIF('Production Data-Daily Input'!$B:$B,"Total "&amp;$A62,'Production Data-Daily Input'!$C:$C)="",SUMIF('Production Data-Weekly input'!$A:$A,A62,'Production Data-Weekly input'!$B:$B)=""),"",IF(SUMIF('Production Data-Daily Input'!$B:$B,"Total "&amp;$A62,'Production Data-Daily Input'!$C:$C)&lt;&gt;0,SUMIF('Production Data-Daily Input'!$B:$B,"Total "&amp;$A62,'Production Data-Daily Input'!$C:$C),SUMIF('Production Data-Weekly input'!$A:$A,A62,'Production Data-Weekly input'!$B:$B)/100*Data!$F$37)))</f>
        <v/>
      </c>
      <c r="D62" s="275" t="str">
        <f>IF(AND(SUM(C62:$C$88)=0,SUMIF('Production Data-Daily Input'!$B:$B,"Total "&amp;$A62,'Production Data-Daily Input'!$D:$D)=0,SUMIF('Production Data-Weekly input'!$A:$A,$A62,'Production Data-Weekly input'!$C:$C)=0),"",IF(C62="",D61,C62+D61))</f>
        <v/>
      </c>
      <c r="E62" s="276" t="str">
        <f>IF(F62="","",F62/Data!F$37)</f>
        <v/>
      </c>
      <c r="F62" s="277" t="str">
        <f>IF(D62="","",Data!$F$37-D62)</f>
        <v/>
      </c>
      <c r="G62" s="278" t="str">
        <f>IF(F62="","",IF(SUMIF('Production Data-Daily Input'!$B:$B,"Total "&amp;$A62,'Production Data-Daily Input'!$D:$D)&lt;&gt;0,SUMIF('Production Data-Daily Input'!$B:$B,"Total "&amp;$A62,'Production Data-Daily Input'!$D:$D),IF(SUMIF('Production Data-Weekly input'!$A:$A,$A62,'Production Data-Weekly input'!$C:$C)=0,0,SUMIF('Production Data-Weekly input'!$A:$A,$A62,'Production Data-Weekly input'!$C:$C)/100*7*$F62)))</f>
        <v/>
      </c>
      <c r="H62" s="279" t="str">
        <f>IF(AND(G62="",'Production Data-Weekly input'!C59=""),"",IF(G62="",'Production Data-Weekly input'!C59,G62/F62/7*100))</f>
        <v/>
      </c>
      <c r="I62" s="300" t="str">
        <f>Standard!D54</f>
        <v/>
      </c>
      <c r="J62" s="275">
        <f t="shared" si="6"/>
        <v>0</v>
      </c>
      <c r="K62" s="281" t="str">
        <f>IF(H62="","",J62/Data!F$37)</f>
        <v/>
      </c>
      <c r="L62" s="301" t="str">
        <f>Standard!F54</f>
        <v/>
      </c>
      <c r="M62" s="283" t="str">
        <f>IF(IF(SUMIF('Production Data-Daily Input'!$B:$B,"Total "&amp;$A62,'Production Data-Daily Input'!$G:$G)&lt;&gt;0,SUMIF('Production Data-Daily Input'!$B:$B,"Total "&amp;$A62,'Production Data-Daily Input'!$G:$G),IF(SUMIF('Production Data-Weekly input'!$A:$A,$A62,'Production Data-Weekly input'!$F:$F)="","",SUMIF('Production Data-Weekly input'!$A:$A,$A62,'Production Data-Weekly input'!$F:$F)))=0,"",IF(SUMIF('Production Data-Daily Input'!$B:$B,"Total "&amp;$A62,'Production Data-Daily Input'!$G:$G)&lt;&gt;0,SUMIF('Production Data-Daily Input'!$B:$B,"Total "&amp;$A62,'Production Data-Daily Input'!$G:$G),IF(SUMIF('Production Data-Weekly input'!$A:$A,$A62,'Production Data-Weekly input'!$F:$F)="","",SUMIF('Production Data-Weekly input'!$A:$A,$A62,'Production Data-Weekly input'!$F:$F))))</f>
        <v/>
      </c>
      <c r="N62" s="302" t="str">
        <f>Standard!G54</f>
        <v/>
      </c>
      <c r="O62" s="285" t="str">
        <f t="shared" si="8"/>
        <v/>
      </c>
      <c r="P62" s="303" t="str">
        <f>Standard!H54</f>
        <v/>
      </c>
      <c r="Q62" s="287" t="str">
        <f>IF(Q61="","",IF(AND(H62="",Q61=""),"",IF(O62="","",IF(M62="",IF(Q61="",0,Q61),(M62*H62/100*7*F62/Data!F$37)+IF(Q61="",0,Q61)))))</f>
        <v/>
      </c>
      <c r="R62" s="288" t="str">
        <f>Standard!I54</f>
        <v/>
      </c>
      <c r="S62" s="289" t="str">
        <f>IF(AND(F62="",Q62=""),"",IF(J62&lt;&gt;"",IF(Q62="","",Q62*Data!F$37/J62),""))</f>
        <v/>
      </c>
      <c r="T62" s="290" t="str">
        <f>Standard!J54</f>
        <v/>
      </c>
      <c r="U62" s="291" t="str">
        <f t="shared" si="1"/>
        <v/>
      </c>
      <c r="V62" s="292" t="str">
        <f>IF(F62="","",IF(SUMIF('Production Data-Weekly input'!$A:$A,A62,'Production Data-Weekly input'!$G:$G)&lt;&gt;0,SUMIF('Production Data-Weekly input'!$A:$A,A62,'Production Data-Weekly input'!$G:$G),(SUMIF('Production Data-Daily Input'!$B:$B,"Total "&amp;A62,'Production Data-Daily Input'!$H:$H)*1000/7/F62)))</f>
        <v/>
      </c>
      <c r="W62" s="293" t="str">
        <f t="shared" si="3"/>
        <v/>
      </c>
      <c r="X62" s="293" t="str">
        <f>IF(W62&lt;&gt;"",W62/Data!F$37*1000/((A62-16)*7),"")</f>
        <v/>
      </c>
      <c r="Y62" s="400" t="str">
        <f t="shared" si="9"/>
        <v/>
      </c>
      <c r="Z62" s="294" t="str">
        <f>IF(F62="","",IF(OR(Q62=0,Q62=""),"",IF(W62&lt;&gt;0,W62/(Q62*Data!F$37/1000),"")))</f>
        <v/>
      </c>
      <c r="AA62" s="295" t="str">
        <f>IF(AND(U62=0,SUMIF('Production Data-Weekly input'!$A:$A,$A62,'Production Data-Weekly input'!$H:$H)=0,SUMIF('Production Data-Daily Input'!$B:$B,"Total "&amp;A62,'Production Data-Daily Input'!$I:$I)=0),"",IF(F62="","",IF(SUMIF('Production Data-Weekly input'!$A:$A,$A62,'Production Data-Weekly input'!$H:$H)&lt;&gt;0,SUMIF('Production Data-Weekly input'!$A:$A,$A62,'Production Data-Weekly input'!$H:$H)*7/U62,SUMIF('Production Data-Daily Input'!$B:$B,"Total "&amp;A62,'Production Data-Daily Input'!$I:$I)*7/U62)))</f>
        <v/>
      </c>
      <c r="AB62" s="278">
        <f>SUMIF('Production Data-Daily Input'!$B:$B,"Total "&amp;$A62,'Production Data-Daily Input'!$E:$E)</f>
        <v>0</v>
      </c>
      <c r="AC62" s="296" t="str">
        <f>IF(F62="","",IF(G62&lt;&gt;0,IF(AB62&lt;&gt;0,AB62/G62,'Production Data-Weekly input'!D59/100),""))</f>
        <v/>
      </c>
      <c r="AD62" s="275">
        <f>SUMIF('Production Data-Daily Input'!$B:$B,"Total "&amp;$A62,'Production Data-Daily Input'!$F:$F)</f>
        <v>0</v>
      </c>
      <c r="AE62" s="296" t="str">
        <f>IF(F62="","",IF(G62&lt;&gt;0,IF(AD62&lt;&gt;0,AD62/G62,'Production Data-Weekly input'!E59/100),""))</f>
        <v/>
      </c>
      <c r="AF62" s="275">
        <f t="shared" si="5"/>
        <v>0</v>
      </c>
      <c r="AG62" s="297" t="str">
        <f t="shared" si="10"/>
        <v/>
      </c>
      <c r="AH62" s="298" t="str">
        <f>IF(AND(SUMIF('Production Data-Daily Input'!$B:$B,"Total "&amp;A62,'Production Data-Daily Input'!$J:$J)=0,SUMIF('Production Data-Weekly input'!$A:$A,A62,'Production Data-Weekly input'!$I:$I)=0),"",IF(SUMIF('Production Data-Daily Input'!$B:$B,"Total "&amp;A62,'Production Data-Daily Input'!$J:$J)&lt;&gt;0,SUMIF('Production Data-Daily Input'!$B:$B,"Total "&amp;A62,'Production Data-Daily Input'!$J:$J),SUMIF('Production Data-Weekly input'!$A:$A,A62,'Production Data-Weekly input'!$I:$I)))</f>
        <v/>
      </c>
    </row>
    <row r="63" spans="1:34" s="299" customFormat="1" ht="24.95" customHeight="1" x14ac:dyDescent="0.25">
      <c r="A63" s="273">
        <f t="shared" si="2"/>
        <v>65</v>
      </c>
      <c r="B63" s="429" t="str">
        <f>'Production Data-Daily Input'!B390</f>
        <v/>
      </c>
      <c r="C63" s="274" t="str">
        <f>IF(IF(AND(SUMIF('Production Data-Daily Input'!$B:$B,"Total "&amp;$A63,'Production Data-Daily Input'!$C:$C)="",SUMIF('Production Data-Weekly input'!$A:$A,A63,'Production Data-Weekly input'!$B:$B)=""),"",IF(SUMIF('Production Data-Daily Input'!$B:$B,"Total "&amp;$A63,'Production Data-Daily Input'!$C:$C)&lt;&gt;0,SUMIF('Production Data-Daily Input'!$B:$B,"Total "&amp;$A63,'Production Data-Daily Input'!$C:$C),SUMIF('Production Data-Weekly input'!$A:$A,A63,'Production Data-Weekly input'!$B:$B)/100*Data!$F$37))=0,"",IF(AND(SUMIF('Production Data-Daily Input'!$B:$B,"Total "&amp;$A63,'Production Data-Daily Input'!$C:$C)="",SUMIF('Production Data-Weekly input'!$A:$A,A63,'Production Data-Weekly input'!$B:$B)=""),"",IF(SUMIF('Production Data-Daily Input'!$B:$B,"Total "&amp;$A63,'Production Data-Daily Input'!$C:$C)&lt;&gt;0,SUMIF('Production Data-Daily Input'!$B:$B,"Total "&amp;$A63,'Production Data-Daily Input'!$C:$C),SUMIF('Production Data-Weekly input'!$A:$A,A63,'Production Data-Weekly input'!$B:$B)/100*Data!$F$37)))</f>
        <v/>
      </c>
      <c r="D63" s="275" t="str">
        <f>IF(AND(SUM(C63:$C$88)=0,SUMIF('Production Data-Daily Input'!$B:$B,"Total "&amp;$A63,'Production Data-Daily Input'!$D:$D)=0,SUMIF('Production Data-Weekly input'!$A:$A,$A63,'Production Data-Weekly input'!$C:$C)=0),"",IF(C63="",D62,C63+D62))</f>
        <v/>
      </c>
      <c r="E63" s="276" t="str">
        <f>IF(F63="","",F63/Data!F$37)</f>
        <v/>
      </c>
      <c r="F63" s="277" t="str">
        <f>IF(D63="","",Data!$F$37-D63)</f>
        <v/>
      </c>
      <c r="G63" s="278" t="str">
        <f>IF(F63="","",IF(SUMIF('Production Data-Daily Input'!$B:$B,"Total "&amp;$A63,'Production Data-Daily Input'!$D:$D)&lt;&gt;0,SUMIF('Production Data-Daily Input'!$B:$B,"Total "&amp;$A63,'Production Data-Daily Input'!$D:$D),IF(SUMIF('Production Data-Weekly input'!$A:$A,$A63,'Production Data-Weekly input'!$C:$C)=0,0,SUMIF('Production Data-Weekly input'!$A:$A,$A63,'Production Data-Weekly input'!$C:$C)/100*7*$F63)))</f>
        <v/>
      </c>
      <c r="H63" s="279" t="str">
        <f>IF(AND(G63="",'Production Data-Weekly input'!C60=""),"",IF(G63="",'Production Data-Weekly input'!C60,G63/F63/7*100))</f>
        <v/>
      </c>
      <c r="I63" s="300" t="str">
        <f>Standard!D55</f>
        <v/>
      </c>
      <c r="J63" s="275">
        <f t="shared" si="6"/>
        <v>0</v>
      </c>
      <c r="K63" s="281" t="str">
        <f>IF(H63="","",J63/Data!F$37)</f>
        <v/>
      </c>
      <c r="L63" s="301" t="str">
        <f>Standard!F55</f>
        <v/>
      </c>
      <c r="M63" s="283" t="str">
        <f>IF(IF(SUMIF('Production Data-Daily Input'!$B:$B,"Total "&amp;$A63,'Production Data-Daily Input'!$G:$G)&lt;&gt;0,SUMIF('Production Data-Daily Input'!$B:$B,"Total "&amp;$A63,'Production Data-Daily Input'!$G:$G),IF(SUMIF('Production Data-Weekly input'!$A:$A,$A63,'Production Data-Weekly input'!$F:$F)="","",SUMIF('Production Data-Weekly input'!$A:$A,$A63,'Production Data-Weekly input'!$F:$F)))=0,"",IF(SUMIF('Production Data-Daily Input'!$B:$B,"Total "&amp;$A63,'Production Data-Daily Input'!$G:$G)&lt;&gt;0,SUMIF('Production Data-Daily Input'!$B:$B,"Total "&amp;$A63,'Production Data-Daily Input'!$G:$G),IF(SUMIF('Production Data-Weekly input'!$A:$A,$A63,'Production Data-Weekly input'!$F:$F)="","",SUMIF('Production Data-Weekly input'!$A:$A,$A63,'Production Data-Weekly input'!$F:$F))))</f>
        <v/>
      </c>
      <c r="N63" s="302" t="str">
        <f>Standard!G55</f>
        <v/>
      </c>
      <c r="O63" s="285" t="str">
        <f t="shared" si="8"/>
        <v/>
      </c>
      <c r="P63" s="303" t="str">
        <f>Standard!H55</f>
        <v/>
      </c>
      <c r="Q63" s="287" t="str">
        <f>IF(Q62="","",IF(AND(H63="",Q62=""),"",IF(O63="","",IF(M63="",IF(Q62="",0,Q62),(M63*H63/100*7*F63/Data!F$37)+IF(Q62="",0,Q62)))))</f>
        <v/>
      </c>
      <c r="R63" s="288" t="str">
        <f>Standard!I55</f>
        <v/>
      </c>
      <c r="S63" s="289" t="str">
        <f>IF(AND(F63="",Q63=""),"",IF(J63&lt;&gt;"",IF(Q63="","",Q63*Data!F$37/J63),""))</f>
        <v/>
      </c>
      <c r="T63" s="290" t="str">
        <f>Standard!J55</f>
        <v/>
      </c>
      <c r="U63" s="291" t="str">
        <f t="shared" si="1"/>
        <v/>
      </c>
      <c r="V63" s="292" t="str">
        <f>IF(F63="","",IF(SUMIF('Production Data-Weekly input'!$A:$A,A63,'Production Data-Weekly input'!$G:$G)&lt;&gt;0,SUMIF('Production Data-Weekly input'!$A:$A,A63,'Production Data-Weekly input'!$G:$G),(SUMIF('Production Data-Daily Input'!$B:$B,"Total "&amp;A63,'Production Data-Daily Input'!$H:$H)*1000/7/F63)))</f>
        <v/>
      </c>
      <c r="W63" s="293" t="str">
        <f t="shared" si="3"/>
        <v/>
      </c>
      <c r="X63" s="293" t="str">
        <f>IF(W63&lt;&gt;"",W63/Data!F$37*1000/((A63-16)*7),"")</f>
        <v/>
      </c>
      <c r="Y63" s="400" t="str">
        <f t="shared" si="9"/>
        <v/>
      </c>
      <c r="Z63" s="294" t="str">
        <f>IF(F63="","",IF(OR(Q63=0,Q63=""),"",IF(W63&lt;&gt;0,W63/(Q63*Data!F$37/1000),"")))</f>
        <v/>
      </c>
      <c r="AA63" s="295" t="str">
        <f>IF(AND(U63=0,SUMIF('Production Data-Weekly input'!$A:$A,$A63,'Production Data-Weekly input'!$H:$H)=0,SUMIF('Production Data-Daily Input'!$B:$B,"Total "&amp;A63,'Production Data-Daily Input'!$I:$I)=0),"",IF(F63="","",IF(SUMIF('Production Data-Weekly input'!$A:$A,$A63,'Production Data-Weekly input'!$H:$H)&lt;&gt;0,SUMIF('Production Data-Weekly input'!$A:$A,$A63,'Production Data-Weekly input'!$H:$H)*7/U63,SUMIF('Production Data-Daily Input'!$B:$B,"Total "&amp;A63,'Production Data-Daily Input'!$I:$I)*7/U63)))</f>
        <v/>
      </c>
      <c r="AB63" s="278">
        <f>SUMIF('Production Data-Daily Input'!$B:$B,"Total "&amp;$A63,'Production Data-Daily Input'!$E:$E)</f>
        <v>0</v>
      </c>
      <c r="AC63" s="296" t="str">
        <f>IF(F63="","",IF(G63&lt;&gt;0,IF(AB63&lt;&gt;0,AB63/G63,'Production Data-Weekly input'!D60/100),""))</f>
        <v/>
      </c>
      <c r="AD63" s="275">
        <f>SUMIF('Production Data-Daily Input'!$B:$B,"Total "&amp;$A63,'Production Data-Daily Input'!$F:$F)</f>
        <v>0</v>
      </c>
      <c r="AE63" s="296" t="str">
        <f>IF(F63="","",IF(G63&lt;&gt;0,IF(AD63&lt;&gt;0,AD63/G63,'Production Data-Weekly input'!E60/100),""))</f>
        <v/>
      </c>
      <c r="AF63" s="275">
        <f t="shared" si="5"/>
        <v>0</v>
      </c>
      <c r="AG63" s="297" t="str">
        <f t="shared" si="10"/>
        <v/>
      </c>
      <c r="AH63" s="298" t="str">
        <f>IF(AND(SUMIF('Production Data-Daily Input'!$B:$B,"Total "&amp;A63,'Production Data-Daily Input'!$J:$J)=0,SUMIF('Production Data-Weekly input'!$A:$A,A63,'Production Data-Weekly input'!$I:$I)=0),"",IF(SUMIF('Production Data-Daily Input'!$B:$B,"Total "&amp;A63,'Production Data-Daily Input'!$J:$J)&lt;&gt;0,SUMIF('Production Data-Daily Input'!$B:$B,"Total "&amp;A63,'Production Data-Daily Input'!$J:$J),SUMIF('Production Data-Weekly input'!$A:$A,A63,'Production Data-Weekly input'!$I:$I)))</f>
        <v/>
      </c>
    </row>
    <row r="64" spans="1:34" s="299" customFormat="1" ht="24.95" customHeight="1" x14ac:dyDescent="0.25">
      <c r="A64" s="273">
        <f t="shared" si="2"/>
        <v>66</v>
      </c>
      <c r="B64" s="429" t="str">
        <f>'Production Data-Daily Input'!B398</f>
        <v/>
      </c>
      <c r="C64" s="274" t="str">
        <f>IF(IF(AND(SUMIF('Production Data-Daily Input'!$B:$B,"Total "&amp;$A64,'Production Data-Daily Input'!$C:$C)="",SUMIF('Production Data-Weekly input'!$A:$A,A64,'Production Data-Weekly input'!$B:$B)=""),"",IF(SUMIF('Production Data-Daily Input'!$B:$B,"Total "&amp;$A64,'Production Data-Daily Input'!$C:$C)&lt;&gt;0,SUMIF('Production Data-Daily Input'!$B:$B,"Total "&amp;$A64,'Production Data-Daily Input'!$C:$C),SUMIF('Production Data-Weekly input'!$A:$A,A64,'Production Data-Weekly input'!$B:$B)/100*Data!$F$37))=0,"",IF(AND(SUMIF('Production Data-Daily Input'!$B:$B,"Total "&amp;$A64,'Production Data-Daily Input'!$C:$C)="",SUMIF('Production Data-Weekly input'!$A:$A,A64,'Production Data-Weekly input'!$B:$B)=""),"",IF(SUMIF('Production Data-Daily Input'!$B:$B,"Total "&amp;$A64,'Production Data-Daily Input'!$C:$C)&lt;&gt;0,SUMIF('Production Data-Daily Input'!$B:$B,"Total "&amp;$A64,'Production Data-Daily Input'!$C:$C),SUMIF('Production Data-Weekly input'!$A:$A,A64,'Production Data-Weekly input'!$B:$B)/100*Data!$F$37)))</f>
        <v/>
      </c>
      <c r="D64" s="275" t="str">
        <f>IF(AND(SUM(C64:$C$88)=0,SUMIF('Production Data-Daily Input'!$B:$B,"Total "&amp;$A64,'Production Data-Daily Input'!$D:$D)=0,SUMIF('Production Data-Weekly input'!$A:$A,$A64,'Production Data-Weekly input'!$C:$C)=0),"",IF(C64="",D63,C64+D63))</f>
        <v/>
      </c>
      <c r="E64" s="276" t="str">
        <f>IF(F64="","",F64/Data!F$37)</f>
        <v/>
      </c>
      <c r="F64" s="277" t="str">
        <f>IF(D64="","",Data!$F$37-D64)</f>
        <v/>
      </c>
      <c r="G64" s="278" t="str">
        <f>IF(F64="","",IF(SUMIF('Production Data-Daily Input'!$B:$B,"Total "&amp;$A64,'Production Data-Daily Input'!$D:$D)&lt;&gt;0,SUMIF('Production Data-Daily Input'!$B:$B,"Total "&amp;$A64,'Production Data-Daily Input'!$D:$D),IF(SUMIF('Production Data-Weekly input'!$A:$A,$A64,'Production Data-Weekly input'!$C:$C)=0,0,SUMIF('Production Data-Weekly input'!$A:$A,$A64,'Production Data-Weekly input'!$C:$C)/100*7*$F64)))</f>
        <v/>
      </c>
      <c r="H64" s="279" t="str">
        <f>IF(AND(G64="",'Production Data-Weekly input'!C61=""),"",IF(G64="",'Production Data-Weekly input'!C61,G64/F64/7*100))</f>
        <v/>
      </c>
      <c r="I64" s="300" t="str">
        <f>Standard!D56</f>
        <v/>
      </c>
      <c r="J64" s="275">
        <f t="shared" si="6"/>
        <v>0</v>
      </c>
      <c r="K64" s="281" t="str">
        <f>IF(H64="","",J64/Data!F$37)</f>
        <v/>
      </c>
      <c r="L64" s="301" t="str">
        <f>Standard!F56</f>
        <v/>
      </c>
      <c r="M64" s="283" t="str">
        <f>IF(IF(SUMIF('Production Data-Daily Input'!$B:$B,"Total "&amp;$A64,'Production Data-Daily Input'!$G:$G)&lt;&gt;0,SUMIF('Production Data-Daily Input'!$B:$B,"Total "&amp;$A64,'Production Data-Daily Input'!$G:$G),IF(SUMIF('Production Data-Weekly input'!$A:$A,$A64,'Production Data-Weekly input'!$F:$F)="","",SUMIF('Production Data-Weekly input'!$A:$A,$A64,'Production Data-Weekly input'!$F:$F)))=0,"",IF(SUMIF('Production Data-Daily Input'!$B:$B,"Total "&amp;$A64,'Production Data-Daily Input'!$G:$G)&lt;&gt;0,SUMIF('Production Data-Daily Input'!$B:$B,"Total "&amp;$A64,'Production Data-Daily Input'!$G:$G),IF(SUMIF('Production Data-Weekly input'!$A:$A,$A64,'Production Data-Weekly input'!$F:$F)="","",SUMIF('Production Data-Weekly input'!$A:$A,$A64,'Production Data-Weekly input'!$F:$F))))</f>
        <v/>
      </c>
      <c r="N64" s="302" t="str">
        <f>Standard!G56</f>
        <v/>
      </c>
      <c r="O64" s="285" t="str">
        <f t="shared" si="8"/>
        <v/>
      </c>
      <c r="P64" s="303" t="str">
        <f>Standard!H56</f>
        <v/>
      </c>
      <c r="Q64" s="287" t="str">
        <f>IF(Q63="","",IF(AND(H64="",Q63=""),"",IF(O64="","",IF(M64="",IF(Q63="",0,Q63),(M64*H64/100*7*F64/Data!F$37)+IF(Q63="",0,Q63)))))</f>
        <v/>
      </c>
      <c r="R64" s="288" t="str">
        <f>Standard!I56</f>
        <v/>
      </c>
      <c r="S64" s="289" t="str">
        <f>IF(AND(F64="",Q64=""),"",IF(J64&lt;&gt;"",IF(Q64="","",Q64*Data!F$37/J64),""))</f>
        <v/>
      </c>
      <c r="T64" s="290" t="str">
        <f>Standard!J56</f>
        <v/>
      </c>
      <c r="U64" s="291" t="str">
        <f t="shared" si="1"/>
        <v/>
      </c>
      <c r="V64" s="292" t="str">
        <f>IF(F64="","",IF(SUMIF('Production Data-Weekly input'!$A:$A,A64,'Production Data-Weekly input'!$G:$G)&lt;&gt;0,SUMIF('Production Data-Weekly input'!$A:$A,A64,'Production Data-Weekly input'!$G:$G),(SUMIF('Production Data-Daily Input'!$B:$B,"Total "&amp;A64,'Production Data-Daily Input'!$H:$H)*1000/7/F64)))</f>
        <v/>
      </c>
      <c r="W64" s="293" t="str">
        <f t="shared" si="3"/>
        <v/>
      </c>
      <c r="X64" s="293" t="str">
        <f>IF(W64&lt;&gt;"",W64/Data!F$37*1000/((A64-16)*7),"")</f>
        <v/>
      </c>
      <c r="Y64" s="400" t="str">
        <f t="shared" si="9"/>
        <v/>
      </c>
      <c r="Z64" s="294" t="str">
        <f>IF(F64="","",IF(OR(Q64=0,Q64=""),"",IF(W64&lt;&gt;0,W64/(Q64*Data!F$37/1000),"")))</f>
        <v/>
      </c>
      <c r="AA64" s="295" t="str">
        <f>IF(AND(U64=0,SUMIF('Production Data-Weekly input'!$A:$A,$A64,'Production Data-Weekly input'!$H:$H)=0,SUMIF('Production Data-Daily Input'!$B:$B,"Total "&amp;A64,'Production Data-Daily Input'!$I:$I)=0),"",IF(F64="","",IF(SUMIF('Production Data-Weekly input'!$A:$A,$A64,'Production Data-Weekly input'!$H:$H)&lt;&gt;0,SUMIF('Production Data-Weekly input'!$A:$A,$A64,'Production Data-Weekly input'!$H:$H)*7/U64,SUMIF('Production Data-Daily Input'!$B:$B,"Total "&amp;A64,'Production Data-Daily Input'!$I:$I)*7/U64)))</f>
        <v/>
      </c>
      <c r="AB64" s="278">
        <f>SUMIF('Production Data-Daily Input'!$B:$B,"Total "&amp;$A64,'Production Data-Daily Input'!$E:$E)</f>
        <v>0</v>
      </c>
      <c r="AC64" s="296" t="str">
        <f>IF(F64="","",IF(G64&lt;&gt;0,IF(AB64&lt;&gt;0,AB64/G64,'Production Data-Weekly input'!D61/100),""))</f>
        <v/>
      </c>
      <c r="AD64" s="275">
        <f>SUMIF('Production Data-Daily Input'!$B:$B,"Total "&amp;$A64,'Production Data-Daily Input'!$F:$F)</f>
        <v>0</v>
      </c>
      <c r="AE64" s="296" t="str">
        <f>IF(F64="","",IF(G64&lt;&gt;0,IF(AD64&lt;&gt;0,AD64/G64,'Production Data-Weekly input'!E61/100),""))</f>
        <v/>
      </c>
      <c r="AF64" s="275">
        <f t="shared" si="5"/>
        <v>0</v>
      </c>
      <c r="AG64" s="297" t="str">
        <f t="shared" si="10"/>
        <v/>
      </c>
      <c r="AH64" s="298" t="str">
        <f>IF(AND(SUMIF('Production Data-Daily Input'!$B:$B,"Total "&amp;A64,'Production Data-Daily Input'!$J:$J)=0,SUMIF('Production Data-Weekly input'!$A:$A,A64,'Production Data-Weekly input'!$I:$I)=0),"",IF(SUMIF('Production Data-Daily Input'!$B:$B,"Total "&amp;A64,'Production Data-Daily Input'!$J:$J)&lt;&gt;0,SUMIF('Production Data-Daily Input'!$B:$B,"Total "&amp;A64,'Production Data-Daily Input'!$J:$J),SUMIF('Production Data-Weekly input'!$A:$A,A64,'Production Data-Weekly input'!$I:$I)))</f>
        <v/>
      </c>
    </row>
    <row r="65" spans="1:34" s="299" customFormat="1" ht="24.95" customHeight="1" x14ac:dyDescent="0.25">
      <c r="A65" s="273">
        <f t="shared" si="2"/>
        <v>67</v>
      </c>
      <c r="B65" s="429" t="str">
        <f>'Production Data-Daily Input'!B406</f>
        <v/>
      </c>
      <c r="C65" s="274" t="str">
        <f>IF(IF(AND(SUMIF('Production Data-Daily Input'!$B:$B,"Total "&amp;$A65,'Production Data-Daily Input'!$C:$C)="",SUMIF('Production Data-Weekly input'!$A:$A,A65,'Production Data-Weekly input'!$B:$B)=""),"",IF(SUMIF('Production Data-Daily Input'!$B:$B,"Total "&amp;$A65,'Production Data-Daily Input'!$C:$C)&lt;&gt;0,SUMIF('Production Data-Daily Input'!$B:$B,"Total "&amp;$A65,'Production Data-Daily Input'!$C:$C),SUMIF('Production Data-Weekly input'!$A:$A,A65,'Production Data-Weekly input'!$B:$B)/100*Data!$F$37))=0,"",IF(AND(SUMIF('Production Data-Daily Input'!$B:$B,"Total "&amp;$A65,'Production Data-Daily Input'!$C:$C)="",SUMIF('Production Data-Weekly input'!$A:$A,A65,'Production Data-Weekly input'!$B:$B)=""),"",IF(SUMIF('Production Data-Daily Input'!$B:$B,"Total "&amp;$A65,'Production Data-Daily Input'!$C:$C)&lt;&gt;0,SUMIF('Production Data-Daily Input'!$B:$B,"Total "&amp;$A65,'Production Data-Daily Input'!$C:$C),SUMIF('Production Data-Weekly input'!$A:$A,A65,'Production Data-Weekly input'!$B:$B)/100*Data!$F$37)))</f>
        <v/>
      </c>
      <c r="D65" s="275" t="str">
        <f>IF(AND(SUM(C65:$C$88)=0,SUMIF('Production Data-Daily Input'!$B:$B,"Total "&amp;$A65,'Production Data-Daily Input'!$D:$D)=0,SUMIF('Production Data-Weekly input'!$A:$A,$A65,'Production Data-Weekly input'!$C:$C)=0),"",IF(C65="",D64,C65+D64))</f>
        <v/>
      </c>
      <c r="E65" s="276" t="str">
        <f>IF(F65="","",F65/Data!F$37)</f>
        <v/>
      </c>
      <c r="F65" s="277" t="str">
        <f>IF(D65="","",Data!$F$37-D65)</f>
        <v/>
      </c>
      <c r="G65" s="278" t="str">
        <f>IF(F65="","",IF(SUMIF('Production Data-Daily Input'!$B:$B,"Total "&amp;$A65,'Production Data-Daily Input'!$D:$D)&lt;&gt;0,SUMIF('Production Data-Daily Input'!$B:$B,"Total "&amp;$A65,'Production Data-Daily Input'!$D:$D),IF(SUMIF('Production Data-Weekly input'!$A:$A,$A65,'Production Data-Weekly input'!$C:$C)=0,0,SUMIF('Production Data-Weekly input'!$A:$A,$A65,'Production Data-Weekly input'!$C:$C)/100*7*$F65)))</f>
        <v/>
      </c>
      <c r="H65" s="279" t="str">
        <f>IF(AND(G65="",'Production Data-Weekly input'!C62=""),"",IF(G65="",'Production Data-Weekly input'!C62,G65/F65/7*100))</f>
        <v/>
      </c>
      <c r="I65" s="300" t="str">
        <f>Standard!D57</f>
        <v/>
      </c>
      <c r="J65" s="275">
        <f t="shared" si="6"/>
        <v>0</v>
      </c>
      <c r="K65" s="281" t="str">
        <f>IF(H65="","",J65/Data!F$37)</f>
        <v/>
      </c>
      <c r="L65" s="301" t="str">
        <f>Standard!F57</f>
        <v/>
      </c>
      <c r="M65" s="283" t="str">
        <f>IF(IF(SUMIF('Production Data-Daily Input'!$B:$B,"Total "&amp;$A65,'Production Data-Daily Input'!$G:$G)&lt;&gt;0,SUMIF('Production Data-Daily Input'!$B:$B,"Total "&amp;$A65,'Production Data-Daily Input'!$G:$G),IF(SUMIF('Production Data-Weekly input'!$A:$A,$A65,'Production Data-Weekly input'!$F:$F)="","",SUMIF('Production Data-Weekly input'!$A:$A,$A65,'Production Data-Weekly input'!$F:$F)))=0,"",IF(SUMIF('Production Data-Daily Input'!$B:$B,"Total "&amp;$A65,'Production Data-Daily Input'!$G:$G)&lt;&gt;0,SUMIF('Production Data-Daily Input'!$B:$B,"Total "&amp;$A65,'Production Data-Daily Input'!$G:$G),IF(SUMIF('Production Data-Weekly input'!$A:$A,$A65,'Production Data-Weekly input'!$F:$F)="","",SUMIF('Production Data-Weekly input'!$A:$A,$A65,'Production Data-Weekly input'!$F:$F))))</f>
        <v/>
      </c>
      <c r="N65" s="302" t="str">
        <f>Standard!G57</f>
        <v/>
      </c>
      <c r="O65" s="285" t="str">
        <f t="shared" si="8"/>
        <v/>
      </c>
      <c r="P65" s="303" t="str">
        <f>Standard!H57</f>
        <v/>
      </c>
      <c r="Q65" s="287" t="str">
        <f>IF(Q64="","",IF(AND(H65="",Q64=""),"",IF(O65="","",IF(M65="",IF(Q64="",0,Q64),(M65*H65/100*7*F65/Data!F$37)+IF(Q64="",0,Q64)))))</f>
        <v/>
      </c>
      <c r="R65" s="288" t="str">
        <f>Standard!I57</f>
        <v/>
      </c>
      <c r="S65" s="289" t="str">
        <f>IF(AND(F65="",Q65=""),"",IF(J65&lt;&gt;"",IF(Q65="","",Q65*Data!F$37/J65),""))</f>
        <v/>
      </c>
      <c r="T65" s="290" t="str">
        <f>Standard!J57</f>
        <v/>
      </c>
      <c r="U65" s="291" t="str">
        <f t="shared" si="1"/>
        <v/>
      </c>
      <c r="V65" s="292" t="str">
        <f>IF(F65="","",IF(SUMIF('Production Data-Weekly input'!$A:$A,A65,'Production Data-Weekly input'!$G:$G)&lt;&gt;0,SUMIF('Production Data-Weekly input'!$A:$A,A65,'Production Data-Weekly input'!$G:$G),(SUMIF('Production Data-Daily Input'!$B:$B,"Total "&amp;A65,'Production Data-Daily Input'!$H:$H)*1000/7/F65)))</f>
        <v/>
      </c>
      <c r="W65" s="293" t="str">
        <f t="shared" si="3"/>
        <v/>
      </c>
      <c r="X65" s="293" t="str">
        <f>IF(W65&lt;&gt;"",W65/Data!F$37*1000/((A65-16)*7),"")</f>
        <v/>
      </c>
      <c r="Y65" s="400" t="str">
        <f t="shared" si="9"/>
        <v/>
      </c>
      <c r="Z65" s="294" t="str">
        <f>IF(F65="","",IF(OR(Q65=0,Q65=""),"",IF(W65&lt;&gt;0,W65/(Q65*Data!F$37/1000),"")))</f>
        <v/>
      </c>
      <c r="AA65" s="295" t="str">
        <f>IF(AND(U65=0,SUMIF('Production Data-Weekly input'!$A:$A,$A65,'Production Data-Weekly input'!$H:$H)=0,SUMIF('Production Data-Daily Input'!$B:$B,"Total "&amp;A65,'Production Data-Daily Input'!$I:$I)=0),"",IF(F65="","",IF(SUMIF('Production Data-Weekly input'!$A:$A,$A65,'Production Data-Weekly input'!$H:$H)&lt;&gt;0,SUMIF('Production Data-Weekly input'!$A:$A,$A65,'Production Data-Weekly input'!$H:$H)*7/U65,SUMIF('Production Data-Daily Input'!$B:$B,"Total "&amp;A65,'Production Data-Daily Input'!$I:$I)*7/U65)))</f>
        <v/>
      </c>
      <c r="AB65" s="278">
        <f>SUMIF('Production Data-Daily Input'!$B:$B,"Total "&amp;$A65,'Production Data-Daily Input'!$E:$E)</f>
        <v>0</v>
      </c>
      <c r="AC65" s="296" t="str">
        <f>IF(F65="","",IF(G65&lt;&gt;0,IF(AB65&lt;&gt;0,AB65/G65,'Production Data-Weekly input'!D62/100),""))</f>
        <v/>
      </c>
      <c r="AD65" s="275">
        <f>SUMIF('Production Data-Daily Input'!$B:$B,"Total "&amp;$A65,'Production Data-Daily Input'!$F:$F)</f>
        <v>0</v>
      </c>
      <c r="AE65" s="296" t="str">
        <f>IF(F65="","",IF(G65&lt;&gt;0,IF(AD65&lt;&gt;0,AD65/G65,'Production Data-Weekly input'!E62/100),""))</f>
        <v/>
      </c>
      <c r="AF65" s="275">
        <f t="shared" si="5"/>
        <v>0</v>
      </c>
      <c r="AG65" s="297" t="str">
        <f t="shared" si="10"/>
        <v/>
      </c>
      <c r="AH65" s="298" t="str">
        <f>IF(AND(SUMIF('Production Data-Daily Input'!$B:$B,"Total "&amp;A65,'Production Data-Daily Input'!$J:$J)=0,SUMIF('Production Data-Weekly input'!$A:$A,A65,'Production Data-Weekly input'!$I:$I)=0),"",IF(SUMIF('Production Data-Daily Input'!$B:$B,"Total "&amp;A65,'Production Data-Daily Input'!$J:$J)&lt;&gt;0,SUMIF('Production Data-Daily Input'!$B:$B,"Total "&amp;A65,'Production Data-Daily Input'!$J:$J),SUMIF('Production Data-Weekly input'!$A:$A,A65,'Production Data-Weekly input'!$I:$I)))</f>
        <v/>
      </c>
    </row>
    <row r="66" spans="1:34" s="299" customFormat="1" ht="24.95" customHeight="1" x14ac:dyDescent="0.25">
      <c r="A66" s="273">
        <f t="shared" si="2"/>
        <v>68</v>
      </c>
      <c r="B66" s="429" t="str">
        <f>'Production Data-Daily Input'!B414</f>
        <v/>
      </c>
      <c r="C66" s="274" t="str">
        <f>IF(IF(AND(SUMIF('Production Data-Daily Input'!$B:$B,"Total "&amp;$A66,'Production Data-Daily Input'!$C:$C)="",SUMIF('Production Data-Weekly input'!$A:$A,A66,'Production Data-Weekly input'!$B:$B)=""),"",IF(SUMIF('Production Data-Daily Input'!$B:$B,"Total "&amp;$A66,'Production Data-Daily Input'!$C:$C)&lt;&gt;0,SUMIF('Production Data-Daily Input'!$B:$B,"Total "&amp;$A66,'Production Data-Daily Input'!$C:$C),SUMIF('Production Data-Weekly input'!$A:$A,A66,'Production Data-Weekly input'!$B:$B)/100*Data!$F$37))=0,"",IF(AND(SUMIF('Production Data-Daily Input'!$B:$B,"Total "&amp;$A66,'Production Data-Daily Input'!$C:$C)="",SUMIF('Production Data-Weekly input'!$A:$A,A66,'Production Data-Weekly input'!$B:$B)=""),"",IF(SUMIF('Production Data-Daily Input'!$B:$B,"Total "&amp;$A66,'Production Data-Daily Input'!$C:$C)&lt;&gt;0,SUMIF('Production Data-Daily Input'!$B:$B,"Total "&amp;$A66,'Production Data-Daily Input'!$C:$C),SUMIF('Production Data-Weekly input'!$A:$A,A66,'Production Data-Weekly input'!$B:$B)/100*Data!$F$37)))</f>
        <v/>
      </c>
      <c r="D66" s="275" t="str">
        <f>IF(AND(SUM(C66:$C$88)=0,SUMIF('Production Data-Daily Input'!$B:$B,"Total "&amp;$A66,'Production Data-Daily Input'!$D:$D)=0,SUMIF('Production Data-Weekly input'!$A:$A,$A66,'Production Data-Weekly input'!$C:$C)=0),"",IF(C66="",D65,C66+D65))</f>
        <v/>
      </c>
      <c r="E66" s="276" t="str">
        <f>IF(F66="","",F66/Data!F$37)</f>
        <v/>
      </c>
      <c r="F66" s="277" t="str">
        <f>IF(D66="","",Data!$F$37-D66)</f>
        <v/>
      </c>
      <c r="G66" s="278" t="str">
        <f>IF(F66="","",IF(SUMIF('Production Data-Daily Input'!$B:$B,"Total "&amp;$A66,'Production Data-Daily Input'!$D:$D)&lt;&gt;0,SUMIF('Production Data-Daily Input'!$B:$B,"Total "&amp;$A66,'Production Data-Daily Input'!$D:$D),IF(SUMIF('Production Data-Weekly input'!$A:$A,$A66,'Production Data-Weekly input'!$C:$C)=0,0,SUMIF('Production Data-Weekly input'!$A:$A,$A66,'Production Data-Weekly input'!$C:$C)/100*7*$F66)))</f>
        <v/>
      </c>
      <c r="H66" s="279" t="str">
        <f>IF(AND(G66="",'Production Data-Weekly input'!C63=""),"",IF(G66="",'Production Data-Weekly input'!C63,G66/F66/7*100))</f>
        <v/>
      </c>
      <c r="I66" s="300" t="str">
        <f>Standard!D58</f>
        <v/>
      </c>
      <c r="J66" s="275">
        <f t="shared" si="6"/>
        <v>0</v>
      </c>
      <c r="K66" s="281" t="str">
        <f>IF(H66="","",J66/Data!F$37)</f>
        <v/>
      </c>
      <c r="L66" s="301" t="str">
        <f>Standard!F58</f>
        <v/>
      </c>
      <c r="M66" s="283" t="str">
        <f>IF(IF(SUMIF('Production Data-Daily Input'!$B:$B,"Total "&amp;$A66,'Production Data-Daily Input'!$G:$G)&lt;&gt;0,SUMIF('Production Data-Daily Input'!$B:$B,"Total "&amp;$A66,'Production Data-Daily Input'!$G:$G),IF(SUMIF('Production Data-Weekly input'!$A:$A,$A66,'Production Data-Weekly input'!$F:$F)="","",SUMIF('Production Data-Weekly input'!$A:$A,$A66,'Production Data-Weekly input'!$F:$F)))=0,"",IF(SUMIF('Production Data-Daily Input'!$B:$B,"Total "&amp;$A66,'Production Data-Daily Input'!$G:$G)&lt;&gt;0,SUMIF('Production Data-Daily Input'!$B:$B,"Total "&amp;$A66,'Production Data-Daily Input'!$G:$G),IF(SUMIF('Production Data-Weekly input'!$A:$A,$A66,'Production Data-Weekly input'!$F:$F)="","",SUMIF('Production Data-Weekly input'!$A:$A,$A66,'Production Data-Weekly input'!$F:$F))))</f>
        <v/>
      </c>
      <c r="N66" s="302" t="str">
        <f>Standard!G58</f>
        <v/>
      </c>
      <c r="O66" s="285" t="str">
        <f t="shared" si="8"/>
        <v/>
      </c>
      <c r="P66" s="303" t="str">
        <f>Standard!H58</f>
        <v/>
      </c>
      <c r="Q66" s="287" t="str">
        <f>IF(Q65="","",IF(AND(H66="",Q65=""),"",IF(O66="","",IF(M66="",IF(Q65="",0,Q65),(M66*H66/100*7*F66/Data!F$37)+IF(Q65="",0,Q65)))))</f>
        <v/>
      </c>
      <c r="R66" s="288" t="str">
        <f>Standard!I58</f>
        <v/>
      </c>
      <c r="S66" s="289" t="str">
        <f>IF(AND(F66="",Q66=""),"",IF(J66&lt;&gt;"",IF(Q66="","",Q66*Data!F$37/J66),""))</f>
        <v/>
      </c>
      <c r="T66" s="290" t="str">
        <f>Standard!J58</f>
        <v/>
      </c>
      <c r="U66" s="291" t="str">
        <f t="shared" si="1"/>
        <v/>
      </c>
      <c r="V66" s="292" t="str">
        <f>IF(F66="","",IF(SUMIF('Production Data-Weekly input'!$A:$A,A66,'Production Data-Weekly input'!$G:$G)&lt;&gt;0,SUMIF('Production Data-Weekly input'!$A:$A,A66,'Production Data-Weekly input'!$G:$G),(SUMIF('Production Data-Daily Input'!$B:$B,"Total "&amp;A66,'Production Data-Daily Input'!$H:$H)*1000/7/F66)))</f>
        <v/>
      </c>
      <c r="W66" s="293" t="str">
        <f t="shared" si="3"/>
        <v/>
      </c>
      <c r="X66" s="293" t="str">
        <f>IF(W66&lt;&gt;"",W66/Data!F$37*1000/((A66-16)*7),"")</f>
        <v/>
      </c>
      <c r="Y66" s="400" t="str">
        <f t="shared" si="9"/>
        <v/>
      </c>
      <c r="Z66" s="294" t="str">
        <f>IF(F66="","",IF(OR(Q66=0,Q66=""),"",IF(W66&lt;&gt;0,W66/(Q66*Data!F$37/1000),"")))</f>
        <v/>
      </c>
      <c r="AA66" s="295" t="str">
        <f>IF(AND(U66=0,SUMIF('Production Data-Weekly input'!$A:$A,$A66,'Production Data-Weekly input'!$H:$H)=0,SUMIF('Production Data-Daily Input'!$B:$B,"Total "&amp;A66,'Production Data-Daily Input'!$I:$I)=0),"",IF(F66="","",IF(SUMIF('Production Data-Weekly input'!$A:$A,$A66,'Production Data-Weekly input'!$H:$H)&lt;&gt;0,SUMIF('Production Data-Weekly input'!$A:$A,$A66,'Production Data-Weekly input'!$H:$H)*7/U66,SUMIF('Production Data-Daily Input'!$B:$B,"Total "&amp;A66,'Production Data-Daily Input'!$I:$I)*7/U66)))</f>
        <v/>
      </c>
      <c r="AB66" s="278">
        <f>SUMIF('Production Data-Daily Input'!$B:$B,"Total "&amp;$A66,'Production Data-Daily Input'!$E:$E)</f>
        <v>0</v>
      </c>
      <c r="AC66" s="296" t="str">
        <f>IF(F66="","",IF(G66&lt;&gt;0,IF(AB66&lt;&gt;0,AB66/G66,'Production Data-Weekly input'!D63/100),""))</f>
        <v/>
      </c>
      <c r="AD66" s="275">
        <f>SUMIF('Production Data-Daily Input'!$B:$B,"Total "&amp;$A66,'Production Data-Daily Input'!$F:$F)</f>
        <v>0</v>
      </c>
      <c r="AE66" s="296" t="str">
        <f>IF(F66="","",IF(G66&lt;&gt;0,IF(AD66&lt;&gt;0,AD66/G66,'Production Data-Weekly input'!E63/100),""))</f>
        <v/>
      </c>
      <c r="AF66" s="275">
        <f t="shared" si="5"/>
        <v>0</v>
      </c>
      <c r="AG66" s="297" t="str">
        <f t="shared" si="10"/>
        <v/>
      </c>
      <c r="AH66" s="298" t="str">
        <f>IF(AND(SUMIF('Production Data-Daily Input'!$B:$B,"Total "&amp;A66,'Production Data-Daily Input'!$J:$J)=0,SUMIF('Production Data-Weekly input'!$A:$A,A66,'Production Data-Weekly input'!$I:$I)=0),"",IF(SUMIF('Production Data-Daily Input'!$B:$B,"Total "&amp;A66,'Production Data-Daily Input'!$J:$J)&lt;&gt;0,SUMIF('Production Data-Daily Input'!$B:$B,"Total "&amp;A66,'Production Data-Daily Input'!$J:$J),SUMIF('Production Data-Weekly input'!$A:$A,A66,'Production Data-Weekly input'!$I:$I)))</f>
        <v/>
      </c>
    </row>
    <row r="67" spans="1:34" s="299" customFormat="1" ht="24.95" customHeight="1" x14ac:dyDescent="0.25">
      <c r="A67" s="273">
        <f t="shared" si="2"/>
        <v>69</v>
      </c>
      <c r="B67" s="429" t="str">
        <f>'Production Data-Daily Input'!B422</f>
        <v/>
      </c>
      <c r="C67" s="274" t="str">
        <f>IF(IF(AND(SUMIF('Production Data-Daily Input'!$B:$B,"Total "&amp;$A67,'Production Data-Daily Input'!$C:$C)="",SUMIF('Production Data-Weekly input'!$A:$A,A67,'Production Data-Weekly input'!$B:$B)=""),"",IF(SUMIF('Production Data-Daily Input'!$B:$B,"Total "&amp;$A67,'Production Data-Daily Input'!$C:$C)&lt;&gt;0,SUMIF('Production Data-Daily Input'!$B:$B,"Total "&amp;$A67,'Production Data-Daily Input'!$C:$C),SUMIF('Production Data-Weekly input'!$A:$A,A67,'Production Data-Weekly input'!$B:$B)/100*Data!$F$37))=0,"",IF(AND(SUMIF('Production Data-Daily Input'!$B:$B,"Total "&amp;$A67,'Production Data-Daily Input'!$C:$C)="",SUMIF('Production Data-Weekly input'!$A:$A,A67,'Production Data-Weekly input'!$B:$B)=""),"",IF(SUMIF('Production Data-Daily Input'!$B:$B,"Total "&amp;$A67,'Production Data-Daily Input'!$C:$C)&lt;&gt;0,SUMIF('Production Data-Daily Input'!$B:$B,"Total "&amp;$A67,'Production Data-Daily Input'!$C:$C),SUMIF('Production Data-Weekly input'!$A:$A,A67,'Production Data-Weekly input'!$B:$B)/100*Data!$F$37)))</f>
        <v/>
      </c>
      <c r="D67" s="275" t="str">
        <f>IF(AND(SUM(C67:$C$88)=0,SUMIF('Production Data-Daily Input'!$B:$B,"Total "&amp;$A67,'Production Data-Daily Input'!$D:$D)=0,SUMIF('Production Data-Weekly input'!$A:$A,$A67,'Production Data-Weekly input'!$C:$C)=0),"",IF(C67="",D66,C67+D66))</f>
        <v/>
      </c>
      <c r="E67" s="276" t="str">
        <f>IF(F67="","",F67/Data!F$37)</f>
        <v/>
      </c>
      <c r="F67" s="277" t="str">
        <f>IF(D67="","",Data!$F$37-D67)</f>
        <v/>
      </c>
      <c r="G67" s="278" t="str">
        <f>IF(F67="","",IF(SUMIF('Production Data-Daily Input'!$B:$B,"Total "&amp;$A67,'Production Data-Daily Input'!$D:$D)&lt;&gt;0,SUMIF('Production Data-Daily Input'!$B:$B,"Total "&amp;$A67,'Production Data-Daily Input'!$D:$D),IF(SUMIF('Production Data-Weekly input'!$A:$A,$A67,'Production Data-Weekly input'!$C:$C)=0,0,SUMIF('Production Data-Weekly input'!$A:$A,$A67,'Production Data-Weekly input'!$C:$C)/100*7*$F67)))</f>
        <v/>
      </c>
      <c r="H67" s="279" t="str">
        <f>IF(AND(G67="",'Production Data-Weekly input'!C64=""),"",IF(G67="",'Production Data-Weekly input'!C64,G67/F67/7*100))</f>
        <v/>
      </c>
      <c r="I67" s="300" t="str">
        <f>Standard!D59</f>
        <v/>
      </c>
      <c r="J67" s="275">
        <f t="shared" si="6"/>
        <v>0</v>
      </c>
      <c r="K67" s="281" t="str">
        <f>IF(H67="","",J67/Data!F$37)</f>
        <v/>
      </c>
      <c r="L67" s="301" t="str">
        <f>Standard!F59</f>
        <v/>
      </c>
      <c r="M67" s="283" t="str">
        <f>IF(IF(SUMIF('Production Data-Daily Input'!$B:$B,"Total "&amp;$A67,'Production Data-Daily Input'!$G:$G)&lt;&gt;0,SUMIF('Production Data-Daily Input'!$B:$B,"Total "&amp;$A67,'Production Data-Daily Input'!$G:$G),IF(SUMIF('Production Data-Weekly input'!$A:$A,$A67,'Production Data-Weekly input'!$F:$F)="","",SUMIF('Production Data-Weekly input'!$A:$A,$A67,'Production Data-Weekly input'!$F:$F)))=0,"",IF(SUMIF('Production Data-Daily Input'!$B:$B,"Total "&amp;$A67,'Production Data-Daily Input'!$G:$G)&lt;&gt;0,SUMIF('Production Data-Daily Input'!$B:$B,"Total "&amp;$A67,'Production Data-Daily Input'!$G:$G),IF(SUMIF('Production Data-Weekly input'!$A:$A,$A67,'Production Data-Weekly input'!$F:$F)="","",SUMIF('Production Data-Weekly input'!$A:$A,$A67,'Production Data-Weekly input'!$F:$F))))</f>
        <v/>
      </c>
      <c r="N67" s="302" t="str">
        <f>Standard!G59</f>
        <v/>
      </c>
      <c r="O67" s="285" t="str">
        <f t="shared" si="8"/>
        <v/>
      </c>
      <c r="P67" s="303" t="str">
        <f>Standard!H59</f>
        <v/>
      </c>
      <c r="Q67" s="287" t="str">
        <f>IF(Q66="","",IF(AND(H67="",Q66=""),"",IF(O67="","",IF(M67="",IF(Q66="",0,Q66),(M67*H67/100*7*F67/Data!F$37)+IF(Q66="",0,Q66)))))</f>
        <v/>
      </c>
      <c r="R67" s="288" t="str">
        <f>Standard!I59</f>
        <v/>
      </c>
      <c r="S67" s="289" t="str">
        <f>IF(AND(F67="",Q67=""),"",IF(J67&lt;&gt;"",IF(Q67="","",Q67*Data!F$37/J67),""))</f>
        <v/>
      </c>
      <c r="T67" s="290" t="str">
        <f>Standard!J59</f>
        <v/>
      </c>
      <c r="U67" s="291" t="str">
        <f t="shared" si="1"/>
        <v/>
      </c>
      <c r="V67" s="292" t="str">
        <f>IF(F67="","",IF(SUMIF('Production Data-Weekly input'!$A:$A,A67,'Production Data-Weekly input'!$G:$G)&lt;&gt;0,SUMIF('Production Data-Weekly input'!$A:$A,A67,'Production Data-Weekly input'!$G:$G),(SUMIF('Production Data-Daily Input'!$B:$B,"Total "&amp;A67,'Production Data-Daily Input'!$H:$H)*1000/7/F67)))</f>
        <v/>
      </c>
      <c r="W67" s="293" t="str">
        <f t="shared" si="3"/>
        <v/>
      </c>
      <c r="X67" s="293" t="str">
        <f>IF(W67&lt;&gt;"",W67/Data!F$37*1000/((A67-16)*7),"")</f>
        <v/>
      </c>
      <c r="Y67" s="400" t="str">
        <f t="shared" si="9"/>
        <v/>
      </c>
      <c r="Z67" s="294" t="str">
        <f>IF(F67="","",IF(OR(Q67=0,Q67=""),"",IF(W67&lt;&gt;0,W67/(Q67*Data!F$37/1000),"")))</f>
        <v/>
      </c>
      <c r="AA67" s="295" t="str">
        <f>IF(AND(U67=0,SUMIF('Production Data-Weekly input'!$A:$A,$A67,'Production Data-Weekly input'!$H:$H)=0,SUMIF('Production Data-Daily Input'!$B:$B,"Total "&amp;A67,'Production Data-Daily Input'!$I:$I)=0),"",IF(F67="","",IF(SUMIF('Production Data-Weekly input'!$A:$A,$A67,'Production Data-Weekly input'!$H:$H)&lt;&gt;0,SUMIF('Production Data-Weekly input'!$A:$A,$A67,'Production Data-Weekly input'!$H:$H)*7/U67,SUMIF('Production Data-Daily Input'!$B:$B,"Total "&amp;A67,'Production Data-Daily Input'!$I:$I)*7/U67)))</f>
        <v/>
      </c>
      <c r="AB67" s="278">
        <f>SUMIF('Production Data-Daily Input'!$B:$B,"Total "&amp;$A67,'Production Data-Daily Input'!$E:$E)</f>
        <v>0</v>
      </c>
      <c r="AC67" s="296" t="str">
        <f>IF(F67="","",IF(G67&lt;&gt;0,IF(AB67&lt;&gt;0,AB67/G67,'Production Data-Weekly input'!D64/100),""))</f>
        <v/>
      </c>
      <c r="AD67" s="275">
        <f>SUMIF('Production Data-Daily Input'!$B:$B,"Total "&amp;$A67,'Production Data-Daily Input'!$F:$F)</f>
        <v>0</v>
      </c>
      <c r="AE67" s="296" t="str">
        <f>IF(F67="","",IF(G67&lt;&gt;0,IF(AD67&lt;&gt;0,AD67/G67,'Production Data-Weekly input'!E64/100),""))</f>
        <v/>
      </c>
      <c r="AF67" s="275">
        <f t="shared" si="5"/>
        <v>0</v>
      </c>
      <c r="AG67" s="297" t="str">
        <f t="shared" si="10"/>
        <v/>
      </c>
      <c r="AH67" s="298" t="str">
        <f>IF(AND(SUMIF('Production Data-Daily Input'!$B:$B,"Total "&amp;A67,'Production Data-Daily Input'!$J:$J)=0,SUMIF('Production Data-Weekly input'!$A:$A,A67,'Production Data-Weekly input'!$I:$I)=0),"",IF(SUMIF('Production Data-Daily Input'!$B:$B,"Total "&amp;A67,'Production Data-Daily Input'!$J:$J)&lt;&gt;0,SUMIF('Production Data-Daily Input'!$B:$B,"Total "&amp;A67,'Production Data-Daily Input'!$J:$J),SUMIF('Production Data-Weekly input'!$A:$A,A67,'Production Data-Weekly input'!$I:$I)))</f>
        <v/>
      </c>
    </row>
    <row r="68" spans="1:34" s="299" customFormat="1" ht="24.95" customHeight="1" x14ac:dyDescent="0.25">
      <c r="A68" s="273">
        <f t="shared" si="2"/>
        <v>70</v>
      </c>
      <c r="B68" s="429" t="str">
        <f>'Production Data-Daily Input'!B430</f>
        <v/>
      </c>
      <c r="C68" s="274" t="str">
        <f>IF(IF(AND(SUMIF('Production Data-Daily Input'!$B:$B,"Total "&amp;$A68,'Production Data-Daily Input'!$C:$C)="",SUMIF('Production Data-Weekly input'!$A:$A,A68,'Production Data-Weekly input'!$B:$B)=""),"",IF(SUMIF('Production Data-Daily Input'!$B:$B,"Total "&amp;$A68,'Production Data-Daily Input'!$C:$C)&lt;&gt;0,SUMIF('Production Data-Daily Input'!$B:$B,"Total "&amp;$A68,'Production Data-Daily Input'!$C:$C),SUMIF('Production Data-Weekly input'!$A:$A,A68,'Production Data-Weekly input'!$B:$B)/100*Data!$F$37))=0,"",IF(AND(SUMIF('Production Data-Daily Input'!$B:$B,"Total "&amp;$A68,'Production Data-Daily Input'!$C:$C)="",SUMIF('Production Data-Weekly input'!$A:$A,A68,'Production Data-Weekly input'!$B:$B)=""),"",IF(SUMIF('Production Data-Daily Input'!$B:$B,"Total "&amp;$A68,'Production Data-Daily Input'!$C:$C)&lt;&gt;0,SUMIF('Production Data-Daily Input'!$B:$B,"Total "&amp;$A68,'Production Data-Daily Input'!$C:$C),SUMIF('Production Data-Weekly input'!$A:$A,A68,'Production Data-Weekly input'!$B:$B)/100*Data!$F$37)))</f>
        <v/>
      </c>
      <c r="D68" s="275" t="str">
        <f>IF(AND(SUM(C68:$C$88)=0,SUMIF('Production Data-Daily Input'!$B:$B,"Total "&amp;$A68,'Production Data-Daily Input'!$D:$D)=0,SUMIF('Production Data-Weekly input'!$A:$A,$A68,'Production Data-Weekly input'!$C:$C)=0),"",IF(C68="",D67,C68+D67))</f>
        <v/>
      </c>
      <c r="E68" s="276" t="str">
        <f>IF(F68="","",F68/Data!F$37)</f>
        <v/>
      </c>
      <c r="F68" s="277" t="str">
        <f>IF(D68="","",Data!$F$37-D68)</f>
        <v/>
      </c>
      <c r="G68" s="278" t="str">
        <f>IF(F68="","",IF(SUMIF('Production Data-Daily Input'!$B:$B,"Total "&amp;$A68,'Production Data-Daily Input'!$D:$D)&lt;&gt;0,SUMIF('Production Data-Daily Input'!$B:$B,"Total "&amp;$A68,'Production Data-Daily Input'!$D:$D),IF(SUMIF('Production Data-Weekly input'!$A:$A,$A68,'Production Data-Weekly input'!$C:$C)=0,0,SUMIF('Production Data-Weekly input'!$A:$A,$A68,'Production Data-Weekly input'!$C:$C)/100*7*$F68)))</f>
        <v/>
      </c>
      <c r="H68" s="279" t="str">
        <f>IF(AND(G68="",'Production Data-Weekly input'!C65=""),"",IF(G68="",'Production Data-Weekly input'!C65,G68/F68/7*100))</f>
        <v/>
      </c>
      <c r="I68" s="300" t="str">
        <f>Standard!D60</f>
        <v/>
      </c>
      <c r="J68" s="275">
        <f t="shared" si="6"/>
        <v>0</v>
      </c>
      <c r="K68" s="281" t="str">
        <f>IF(H68="","",J68/Data!F$37)</f>
        <v/>
      </c>
      <c r="L68" s="301" t="str">
        <f>Standard!F60</f>
        <v/>
      </c>
      <c r="M68" s="283" t="str">
        <f>IF(IF(SUMIF('Production Data-Daily Input'!$B:$B,"Total "&amp;$A68,'Production Data-Daily Input'!$G:$G)&lt;&gt;0,SUMIF('Production Data-Daily Input'!$B:$B,"Total "&amp;$A68,'Production Data-Daily Input'!$G:$G),IF(SUMIF('Production Data-Weekly input'!$A:$A,$A68,'Production Data-Weekly input'!$F:$F)="","",SUMIF('Production Data-Weekly input'!$A:$A,$A68,'Production Data-Weekly input'!$F:$F)))=0,"",IF(SUMIF('Production Data-Daily Input'!$B:$B,"Total "&amp;$A68,'Production Data-Daily Input'!$G:$G)&lt;&gt;0,SUMIF('Production Data-Daily Input'!$B:$B,"Total "&amp;$A68,'Production Data-Daily Input'!$G:$G),IF(SUMIF('Production Data-Weekly input'!$A:$A,$A68,'Production Data-Weekly input'!$F:$F)="","",SUMIF('Production Data-Weekly input'!$A:$A,$A68,'Production Data-Weekly input'!$F:$F))))</f>
        <v/>
      </c>
      <c r="N68" s="302" t="str">
        <f>Standard!G60</f>
        <v/>
      </c>
      <c r="O68" s="285" t="str">
        <f t="shared" si="8"/>
        <v/>
      </c>
      <c r="P68" s="303" t="str">
        <f>Standard!H60</f>
        <v/>
      </c>
      <c r="Q68" s="287" t="str">
        <f>IF(Q67="","",IF(AND(H68="",Q67=""),"",IF(O68="","",IF(M68="",IF(Q67="",0,Q67),(M68*H68/100*7*F68/Data!F$37)+IF(Q67="",0,Q67)))))</f>
        <v/>
      </c>
      <c r="R68" s="288" t="str">
        <f>Standard!I60</f>
        <v/>
      </c>
      <c r="S68" s="289" t="str">
        <f>IF(AND(F68="",Q68=""),"",IF(J68&lt;&gt;"",IF(Q68="","",Q68*Data!F$37/J68),""))</f>
        <v/>
      </c>
      <c r="T68" s="290" t="str">
        <f>Standard!J60</f>
        <v/>
      </c>
      <c r="U68" s="291" t="str">
        <f t="shared" si="1"/>
        <v/>
      </c>
      <c r="V68" s="292" t="str">
        <f>IF(F68="","",IF(SUMIF('Production Data-Weekly input'!$A:$A,A68,'Production Data-Weekly input'!$G:$G)&lt;&gt;0,SUMIF('Production Data-Weekly input'!$A:$A,A68,'Production Data-Weekly input'!$G:$G),(SUMIF('Production Data-Daily Input'!$B:$B,"Total "&amp;A68,'Production Data-Daily Input'!$H:$H)*1000/7/F68)))</f>
        <v/>
      </c>
      <c r="W68" s="293" t="str">
        <f t="shared" si="3"/>
        <v/>
      </c>
      <c r="X68" s="293" t="str">
        <f>IF(W68&lt;&gt;"",W68/Data!F$37*1000/((A68-16)*7),"")</f>
        <v/>
      </c>
      <c r="Y68" s="400" t="str">
        <f t="shared" si="9"/>
        <v/>
      </c>
      <c r="Z68" s="294" t="str">
        <f>IF(F68="","",IF(OR(Q68=0,Q68=""),"",IF(W68&lt;&gt;0,W68/(Q68*Data!F$37/1000),"")))</f>
        <v/>
      </c>
      <c r="AA68" s="295" t="str">
        <f>IF(AND(U68=0,SUMIF('Production Data-Weekly input'!$A:$A,$A68,'Production Data-Weekly input'!$H:$H)=0,SUMIF('Production Data-Daily Input'!$B:$B,"Total "&amp;A68,'Production Data-Daily Input'!$I:$I)=0),"",IF(F68="","",IF(SUMIF('Production Data-Weekly input'!$A:$A,$A68,'Production Data-Weekly input'!$H:$H)&lt;&gt;0,SUMIF('Production Data-Weekly input'!$A:$A,$A68,'Production Data-Weekly input'!$H:$H)*7/U68,SUMIF('Production Data-Daily Input'!$B:$B,"Total "&amp;A68,'Production Data-Daily Input'!$I:$I)*7/U68)))</f>
        <v/>
      </c>
      <c r="AB68" s="278">
        <f>SUMIF('Production Data-Daily Input'!$B:$B,"Total "&amp;$A68,'Production Data-Daily Input'!$E:$E)</f>
        <v>0</v>
      </c>
      <c r="AC68" s="296" t="str">
        <f>IF(F68="","",IF(G68&lt;&gt;0,IF(AB68&lt;&gt;0,AB68/G68,'Production Data-Weekly input'!D65/100),""))</f>
        <v/>
      </c>
      <c r="AD68" s="275">
        <f>SUMIF('Production Data-Daily Input'!$B:$B,"Total "&amp;$A68,'Production Data-Daily Input'!$F:$F)</f>
        <v>0</v>
      </c>
      <c r="AE68" s="296" t="str">
        <f>IF(F68="","",IF(G68&lt;&gt;0,IF(AD68&lt;&gt;0,AD68/G68,'Production Data-Weekly input'!E65/100),""))</f>
        <v/>
      </c>
      <c r="AF68" s="275">
        <f t="shared" si="5"/>
        <v>0</v>
      </c>
      <c r="AG68" s="297" t="str">
        <f t="shared" si="10"/>
        <v/>
      </c>
      <c r="AH68" s="298" t="str">
        <f>IF(AND(SUMIF('Production Data-Daily Input'!$B:$B,"Total "&amp;A68,'Production Data-Daily Input'!$J:$J)=0,SUMIF('Production Data-Weekly input'!$A:$A,A68,'Production Data-Weekly input'!$I:$I)=0),"",IF(SUMIF('Production Data-Daily Input'!$B:$B,"Total "&amp;A68,'Production Data-Daily Input'!$J:$J)&lt;&gt;0,SUMIF('Production Data-Daily Input'!$B:$B,"Total "&amp;A68,'Production Data-Daily Input'!$J:$J),SUMIF('Production Data-Weekly input'!$A:$A,A68,'Production Data-Weekly input'!$I:$I)))</f>
        <v/>
      </c>
    </row>
    <row r="69" spans="1:34" s="299" customFormat="1" ht="24.95" customHeight="1" x14ac:dyDescent="0.25">
      <c r="A69" s="273">
        <f t="shared" si="2"/>
        <v>71</v>
      </c>
      <c r="B69" s="429" t="str">
        <f>'Production Data-Daily Input'!B438</f>
        <v/>
      </c>
      <c r="C69" s="274" t="str">
        <f>IF(IF(AND(SUMIF('Production Data-Daily Input'!$B:$B,"Total "&amp;$A69,'Production Data-Daily Input'!$C:$C)="",SUMIF('Production Data-Weekly input'!$A:$A,A69,'Production Data-Weekly input'!$B:$B)=""),"",IF(SUMIF('Production Data-Daily Input'!$B:$B,"Total "&amp;$A69,'Production Data-Daily Input'!$C:$C)&lt;&gt;0,SUMIF('Production Data-Daily Input'!$B:$B,"Total "&amp;$A69,'Production Data-Daily Input'!$C:$C),SUMIF('Production Data-Weekly input'!$A:$A,A69,'Production Data-Weekly input'!$B:$B)/100*Data!$F$37))=0,"",IF(AND(SUMIF('Production Data-Daily Input'!$B:$B,"Total "&amp;$A69,'Production Data-Daily Input'!$C:$C)="",SUMIF('Production Data-Weekly input'!$A:$A,A69,'Production Data-Weekly input'!$B:$B)=""),"",IF(SUMIF('Production Data-Daily Input'!$B:$B,"Total "&amp;$A69,'Production Data-Daily Input'!$C:$C)&lt;&gt;0,SUMIF('Production Data-Daily Input'!$B:$B,"Total "&amp;$A69,'Production Data-Daily Input'!$C:$C),SUMIF('Production Data-Weekly input'!$A:$A,A69,'Production Data-Weekly input'!$B:$B)/100*Data!$F$37)))</f>
        <v/>
      </c>
      <c r="D69" s="275" t="str">
        <f>IF(AND(SUM(C69:$C$88)=0,SUMIF('Production Data-Daily Input'!$B:$B,"Total "&amp;$A69,'Production Data-Daily Input'!$D:$D)=0,SUMIF('Production Data-Weekly input'!$A:$A,$A69,'Production Data-Weekly input'!$C:$C)=0),"",IF(C69="",D68,C69+D68))</f>
        <v/>
      </c>
      <c r="E69" s="276" t="str">
        <f>IF(F69="","",F69/Data!F$37)</f>
        <v/>
      </c>
      <c r="F69" s="277" t="str">
        <f>IF(D69="","",Data!$F$37-D69)</f>
        <v/>
      </c>
      <c r="G69" s="278" t="str">
        <f>IF(F69="","",IF(SUMIF('Production Data-Daily Input'!$B:$B,"Total "&amp;$A69,'Production Data-Daily Input'!$D:$D)&lt;&gt;0,SUMIF('Production Data-Daily Input'!$B:$B,"Total "&amp;$A69,'Production Data-Daily Input'!$D:$D),IF(SUMIF('Production Data-Weekly input'!$A:$A,$A69,'Production Data-Weekly input'!$C:$C)=0,0,SUMIF('Production Data-Weekly input'!$A:$A,$A69,'Production Data-Weekly input'!$C:$C)/100*7*$F69)))</f>
        <v/>
      </c>
      <c r="H69" s="279" t="str">
        <f>IF(AND(G69="",'Production Data-Weekly input'!C66=""),"",IF(G69="",'Production Data-Weekly input'!C66,G69/F69/7*100))</f>
        <v/>
      </c>
      <c r="I69" s="300" t="str">
        <f>Standard!D61</f>
        <v/>
      </c>
      <c r="J69" s="275">
        <f t="shared" si="6"/>
        <v>0</v>
      </c>
      <c r="K69" s="281" t="str">
        <f>IF(H69="","",J69/Data!F$37)</f>
        <v/>
      </c>
      <c r="L69" s="301" t="str">
        <f>Standard!F61</f>
        <v/>
      </c>
      <c r="M69" s="283" t="str">
        <f>IF(IF(SUMIF('Production Data-Daily Input'!$B:$B,"Total "&amp;$A69,'Production Data-Daily Input'!$G:$G)&lt;&gt;0,SUMIF('Production Data-Daily Input'!$B:$B,"Total "&amp;$A69,'Production Data-Daily Input'!$G:$G),IF(SUMIF('Production Data-Weekly input'!$A:$A,$A69,'Production Data-Weekly input'!$F:$F)="","",SUMIF('Production Data-Weekly input'!$A:$A,$A69,'Production Data-Weekly input'!$F:$F)))=0,"",IF(SUMIF('Production Data-Daily Input'!$B:$B,"Total "&amp;$A69,'Production Data-Daily Input'!$G:$G)&lt;&gt;0,SUMIF('Production Data-Daily Input'!$B:$B,"Total "&amp;$A69,'Production Data-Daily Input'!$G:$G),IF(SUMIF('Production Data-Weekly input'!$A:$A,$A69,'Production Data-Weekly input'!$F:$F)="","",SUMIF('Production Data-Weekly input'!$A:$A,$A69,'Production Data-Weekly input'!$F:$F))))</f>
        <v/>
      </c>
      <c r="N69" s="302" t="str">
        <f>Standard!G61</f>
        <v/>
      </c>
      <c r="O69" s="285" t="str">
        <f t="shared" si="8"/>
        <v/>
      </c>
      <c r="P69" s="303" t="str">
        <f>Standard!H61</f>
        <v/>
      </c>
      <c r="Q69" s="287" t="str">
        <f>IF(Q68="","",IF(AND(H69="",Q68=""),"",IF(O69="","",IF(M69="",IF(Q68="",0,Q68),(M69*H69/100*7*F69/Data!F$37)+IF(Q68="",0,Q68)))))</f>
        <v/>
      </c>
      <c r="R69" s="288" t="str">
        <f>Standard!I61</f>
        <v/>
      </c>
      <c r="S69" s="289" t="str">
        <f>IF(AND(F69="",Q69=""),"",IF(J69&lt;&gt;"",IF(Q69="","",Q69*Data!F$37/J69),""))</f>
        <v/>
      </c>
      <c r="T69" s="290" t="str">
        <f>Standard!J61</f>
        <v/>
      </c>
      <c r="U69" s="291" t="str">
        <f t="shared" si="1"/>
        <v/>
      </c>
      <c r="V69" s="292" t="str">
        <f>IF(F69="","",IF(SUMIF('Production Data-Weekly input'!$A:$A,A69,'Production Data-Weekly input'!$G:$G)&lt;&gt;0,SUMIF('Production Data-Weekly input'!$A:$A,A69,'Production Data-Weekly input'!$G:$G),(SUMIF('Production Data-Daily Input'!$B:$B,"Total "&amp;A69,'Production Data-Daily Input'!$H:$H)*1000/7/F69)))</f>
        <v/>
      </c>
      <c r="W69" s="293" t="str">
        <f t="shared" si="3"/>
        <v/>
      </c>
      <c r="X69" s="293" t="str">
        <f>IF(W69&lt;&gt;"",W69/Data!F$37*1000/((A69-16)*7),"")</f>
        <v/>
      </c>
      <c r="Y69" s="400" t="str">
        <f t="shared" si="9"/>
        <v/>
      </c>
      <c r="Z69" s="294" t="str">
        <f>IF(F69="","",IF(OR(Q69=0,Q69=""),"",IF(W69&lt;&gt;0,W69/(Q69*Data!F$37/1000),"")))</f>
        <v/>
      </c>
      <c r="AA69" s="295" t="str">
        <f>IF(AND(U69=0,SUMIF('Production Data-Weekly input'!$A:$A,$A69,'Production Data-Weekly input'!$H:$H)=0,SUMIF('Production Data-Daily Input'!$B:$B,"Total "&amp;A69,'Production Data-Daily Input'!$I:$I)=0),"",IF(F69="","",IF(SUMIF('Production Data-Weekly input'!$A:$A,$A69,'Production Data-Weekly input'!$H:$H)&lt;&gt;0,SUMIF('Production Data-Weekly input'!$A:$A,$A69,'Production Data-Weekly input'!$H:$H)*7/U69,SUMIF('Production Data-Daily Input'!$B:$B,"Total "&amp;A69,'Production Data-Daily Input'!$I:$I)*7/U69)))</f>
        <v/>
      </c>
      <c r="AB69" s="278">
        <f>SUMIF('Production Data-Daily Input'!$B:$B,"Total "&amp;$A69,'Production Data-Daily Input'!$E:$E)</f>
        <v>0</v>
      </c>
      <c r="AC69" s="296" t="str">
        <f>IF(F69="","",IF(G69&lt;&gt;0,IF(AB69&lt;&gt;0,AB69/G69,'Production Data-Weekly input'!D66/100),""))</f>
        <v/>
      </c>
      <c r="AD69" s="275">
        <f>SUMIF('Production Data-Daily Input'!$B:$B,"Total "&amp;$A69,'Production Data-Daily Input'!$F:$F)</f>
        <v>0</v>
      </c>
      <c r="AE69" s="296" t="str">
        <f>IF(F69="","",IF(G69&lt;&gt;0,IF(AD69&lt;&gt;0,AD69/G69,'Production Data-Weekly input'!E66/100),""))</f>
        <v/>
      </c>
      <c r="AF69" s="275">
        <f t="shared" si="5"/>
        <v>0</v>
      </c>
      <c r="AG69" s="297" t="str">
        <f t="shared" si="10"/>
        <v/>
      </c>
      <c r="AH69" s="298" t="str">
        <f>IF(AND(SUMIF('Production Data-Daily Input'!$B:$B,"Total "&amp;A69,'Production Data-Daily Input'!$J:$J)=0,SUMIF('Production Data-Weekly input'!$A:$A,A69,'Production Data-Weekly input'!$I:$I)=0),"",IF(SUMIF('Production Data-Daily Input'!$B:$B,"Total "&amp;A69,'Production Data-Daily Input'!$J:$J)&lt;&gt;0,SUMIF('Production Data-Daily Input'!$B:$B,"Total "&amp;A69,'Production Data-Daily Input'!$J:$J),SUMIF('Production Data-Weekly input'!$A:$A,A69,'Production Data-Weekly input'!$I:$I)))</f>
        <v/>
      </c>
    </row>
    <row r="70" spans="1:34" s="299" customFormat="1" ht="24.95" customHeight="1" x14ac:dyDescent="0.25">
      <c r="A70" s="273">
        <f t="shared" si="2"/>
        <v>72</v>
      </c>
      <c r="B70" s="429" t="str">
        <f>'Production Data-Daily Input'!B446</f>
        <v/>
      </c>
      <c r="C70" s="274" t="str">
        <f>IF(IF(AND(SUMIF('Production Data-Daily Input'!$B:$B,"Total "&amp;$A70,'Production Data-Daily Input'!$C:$C)="",SUMIF('Production Data-Weekly input'!$A:$A,A70,'Production Data-Weekly input'!$B:$B)=""),"",IF(SUMIF('Production Data-Daily Input'!$B:$B,"Total "&amp;$A70,'Production Data-Daily Input'!$C:$C)&lt;&gt;0,SUMIF('Production Data-Daily Input'!$B:$B,"Total "&amp;$A70,'Production Data-Daily Input'!$C:$C),SUMIF('Production Data-Weekly input'!$A:$A,A70,'Production Data-Weekly input'!$B:$B)/100*Data!$F$37))=0,"",IF(AND(SUMIF('Production Data-Daily Input'!$B:$B,"Total "&amp;$A70,'Production Data-Daily Input'!$C:$C)="",SUMIF('Production Data-Weekly input'!$A:$A,A70,'Production Data-Weekly input'!$B:$B)=""),"",IF(SUMIF('Production Data-Daily Input'!$B:$B,"Total "&amp;$A70,'Production Data-Daily Input'!$C:$C)&lt;&gt;0,SUMIF('Production Data-Daily Input'!$B:$B,"Total "&amp;$A70,'Production Data-Daily Input'!$C:$C),SUMIF('Production Data-Weekly input'!$A:$A,A70,'Production Data-Weekly input'!$B:$B)/100*Data!$F$37)))</f>
        <v/>
      </c>
      <c r="D70" s="275" t="str">
        <f>IF(AND(SUM(C70:$C$88)=0,SUMIF('Production Data-Daily Input'!$B:$B,"Total "&amp;$A70,'Production Data-Daily Input'!$D:$D)=0,SUMIF('Production Data-Weekly input'!$A:$A,$A70,'Production Data-Weekly input'!$C:$C)=0),"",IF(C70="",D69,C70+D69))</f>
        <v/>
      </c>
      <c r="E70" s="276" t="str">
        <f>IF(F70="","",F70/Data!F$37)</f>
        <v/>
      </c>
      <c r="F70" s="277" t="str">
        <f>IF(D70="","",Data!$F$37-D70)</f>
        <v/>
      </c>
      <c r="G70" s="278" t="str">
        <f>IF(F70="","",IF(SUMIF('Production Data-Daily Input'!$B:$B,"Total "&amp;$A70,'Production Data-Daily Input'!$D:$D)&lt;&gt;0,SUMIF('Production Data-Daily Input'!$B:$B,"Total "&amp;$A70,'Production Data-Daily Input'!$D:$D),IF(SUMIF('Production Data-Weekly input'!$A:$A,$A70,'Production Data-Weekly input'!$C:$C)=0,0,SUMIF('Production Data-Weekly input'!$A:$A,$A70,'Production Data-Weekly input'!$C:$C)/100*7*$F70)))</f>
        <v/>
      </c>
      <c r="H70" s="279" t="str">
        <f>IF(AND(G70="",'Production Data-Weekly input'!C67=""),"",IF(G70="",'Production Data-Weekly input'!C67,G70/F70/7*100))</f>
        <v/>
      </c>
      <c r="I70" s="300" t="str">
        <f>Standard!D62</f>
        <v/>
      </c>
      <c r="J70" s="275">
        <f t="shared" si="6"/>
        <v>0</v>
      </c>
      <c r="K70" s="281" t="str">
        <f>IF(H70="","",J70/Data!F$37)</f>
        <v/>
      </c>
      <c r="L70" s="301" t="str">
        <f>Standard!F62</f>
        <v/>
      </c>
      <c r="M70" s="283" t="str">
        <f>IF(IF(SUMIF('Production Data-Daily Input'!$B:$B,"Total "&amp;$A70,'Production Data-Daily Input'!$G:$G)&lt;&gt;0,SUMIF('Production Data-Daily Input'!$B:$B,"Total "&amp;$A70,'Production Data-Daily Input'!$G:$G),IF(SUMIF('Production Data-Weekly input'!$A:$A,$A70,'Production Data-Weekly input'!$F:$F)="","",SUMIF('Production Data-Weekly input'!$A:$A,$A70,'Production Data-Weekly input'!$F:$F)))=0,"",IF(SUMIF('Production Data-Daily Input'!$B:$B,"Total "&amp;$A70,'Production Data-Daily Input'!$G:$G)&lt;&gt;0,SUMIF('Production Data-Daily Input'!$B:$B,"Total "&amp;$A70,'Production Data-Daily Input'!$G:$G),IF(SUMIF('Production Data-Weekly input'!$A:$A,$A70,'Production Data-Weekly input'!$F:$F)="","",SUMIF('Production Data-Weekly input'!$A:$A,$A70,'Production Data-Weekly input'!$F:$F))))</f>
        <v/>
      </c>
      <c r="N70" s="302" t="str">
        <f>Standard!G62</f>
        <v/>
      </c>
      <c r="O70" s="285" t="str">
        <f t="shared" si="8"/>
        <v/>
      </c>
      <c r="P70" s="303" t="str">
        <f>Standard!H62</f>
        <v/>
      </c>
      <c r="Q70" s="287" t="str">
        <f>IF(Q69="","",IF(AND(H70="",Q69=""),"",IF(O70="","",IF(M70="",IF(Q69="",0,Q69),(M70*H70/100*7*F70/Data!F$37)+IF(Q69="",0,Q69)))))</f>
        <v/>
      </c>
      <c r="R70" s="288" t="str">
        <f>Standard!I62</f>
        <v/>
      </c>
      <c r="S70" s="289" t="str">
        <f>IF(AND(F70="",Q70=""),"",IF(J70&lt;&gt;"",IF(Q70="","",Q70*Data!F$37/J70),""))</f>
        <v/>
      </c>
      <c r="T70" s="290" t="str">
        <f>Standard!J62</f>
        <v/>
      </c>
      <c r="U70" s="291" t="str">
        <f t="shared" si="1"/>
        <v/>
      </c>
      <c r="V70" s="292" t="str">
        <f>IF(F70="","",IF(SUMIF('Production Data-Weekly input'!$A:$A,A70,'Production Data-Weekly input'!$G:$G)&lt;&gt;0,SUMIF('Production Data-Weekly input'!$A:$A,A70,'Production Data-Weekly input'!$G:$G),(SUMIF('Production Data-Daily Input'!$B:$B,"Total "&amp;A70,'Production Data-Daily Input'!$H:$H)*1000/7/F70)))</f>
        <v/>
      </c>
      <c r="W70" s="293" t="str">
        <f t="shared" si="3"/>
        <v/>
      </c>
      <c r="X70" s="293" t="str">
        <f>IF(W70&lt;&gt;"",W70/Data!F$37*1000/((A70-16)*7),"")</f>
        <v/>
      </c>
      <c r="Y70" s="400" t="str">
        <f t="shared" si="9"/>
        <v/>
      </c>
      <c r="Z70" s="294" t="str">
        <f>IF(F70="","",IF(OR(Q70=0,Q70=""),"",IF(W70&lt;&gt;0,W70/(Q70*Data!F$37/1000),"")))</f>
        <v/>
      </c>
      <c r="AA70" s="295" t="str">
        <f>IF(AND(U70=0,SUMIF('Production Data-Weekly input'!$A:$A,$A70,'Production Data-Weekly input'!$H:$H)=0,SUMIF('Production Data-Daily Input'!$B:$B,"Total "&amp;A70,'Production Data-Daily Input'!$I:$I)=0),"",IF(F70="","",IF(SUMIF('Production Data-Weekly input'!$A:$A,$A70,'Production Data-Weekly input'!$H:$H)&lt;&gt;0,SUMIF('Production Data-Weekly input'!$A:$A,$A70,'Production Data-Weekly input'!$H:$H)*7/U70,SUMIF('Production Data-Daily Input'!$B:$B,"Total "&amp;A70,'Production Data-Daily Input'!$I:$I)*7/U70)))</f>
        <v/>
      </c>
      <c r="AB70" s="278">
        <f>SUMIF('Production Data-Daily Input'!$B:$B,"Total "&amp;$A70,'Production Data-Daily Input'!$E:$E)</f>
        <v>0</v>
      </c>
      <c r="AC70" s="296" t="str">
        <f>IF(F70="","",IF(G70&lt;&gt;0,IF(AB70&lt;&gt;0,AB70/G70,'Production Data-Weekly input'!D67/100),""))</f>
        <v/>
      </c>
      <c r="AD70" s="275">
        <f>SUMIF('Production Data-Daily Input'!$B:$B,"Total "&amp;$A70,'Production Data-Daily Input'!$F:$F)</f>
        <v>0</v>
      </c>
      <c r="AE70" s="296" t="str">
        <f>IF(F70="","",IF(G70&lt;&gt;0,IF(AD70&lt;&gt;0,AD70/G70,'Production Data-Weekly input'!E67/100),""))</f>
        <v/>
      </c>
      <c r="AF70" s="275">
        <f t="shared" si="5"/>
        <v>0</v>
      </c>
      <c r="AG70" s="297" t="str">
        <f t="shared" si="10"/>
        <v/>
      </c>
      <c r="AH70" s="298" t="str">
        <f>IF(AND(SUMIF('Production Data-Daily Input'!$B:$B,"Total "&amp;A70,'Production Data-Daily Input'!$J:$J)=0,SUMIF('Production Data-Weekly input'!$A:$A,A70,'Production Data-Weekly input'!$I:$I)=0),"",IF(SUMIF('Production Data-Daily Input'!$B:$B,"Total "&amp;A70,'Production Data-Daily Input'!$J:$J)&lt;&gt;0,SUMIF('Production Data-Daily Input'!$B:$B,"Total "&amp;A70,'Production Data-Daily Input'!$J:$J),SUMIF('Production Data-Weekly input'!$A:$A,A70,'Production Data-Weekly input'!$I:$I)))</f>
        <v/>
      </c>
    </row>
    <row r="71" spans="1:34" s="299" customFormat="1" ht="24.95" customHeight="1" x14ac:dyDescent="0.25">
      <c r="A71" s="273">
        <f t="shared" si="2"/>
        <v>73</v>
      </c>
      <c r="B71" s="429" t="str">
        <f>'Production Data-Daily Input'!B454</f>
        <v/>
      </c>
      <c r="C71" s="274" t="str">
        <f>IF(IF(AND(SUMIF('Production Data-Daily Input'!$B:$B,"Total "&amp;$A71,'Production Data-Daily Input'!$C:$C)="",SUMIF('Production Data-Weekly input'!$A:$A,A71,'Production Data-Weekly input'!$B:$B)=""),"",IF(SUMIF('Production Data-Daily Input'!$B:$B,"Total "&amp;$A71,'Production Data-Daily Input'!$C:$C)&lt;&gt;0,SUMIF('Production Data-Daily Input'!$B:$B,"Total "&amp;$A71,'Production Data-Daily Input'!$C:$C),SUMIF('Production Data-Weekly input'!$A:$A,A71,'Production Data-Weekly input'!$B:$B)/100*Data!$F$37))=0,"",IF(AND(SUMIF('Production Data-Daily Input'!$B:$B,"Total "&amp;$A71,'Production Data-Daily Input'!$C:$C)="",SUMIF('Production Data-Weekly input'!$A:$A,A71,'Production Data-Weekly input'!$B:$B)=""),"",IF(SUMIF('Production Data-Daily Input'!$B:$B,"Total "&amp;$A71,'Production Data-Daily Input'!$C:$C)&lt;&gt;0,SUMIF('Production Data-Daily Input'!$B:$B,"Total "&amp;$A71,'Production Data-Daily Input'!$C:$C),SUMIF('Production Data-Weekly input'!$A:$A,A71,'Production Data-Weekly input'!$B:$B)/100*Data!$F$37)))</f>
        <v/>
      </c>
      <c r="D71" s="275" t="str">
        <f>IF(AND(SUM(C71:$C$88)=0,SUMIF('Production Data-Daily Input'!$B:$B,"Total "&amp;$A71,'Production Data-Daily Input'!$D:$D)=0,SUMIF('Production Data-Weekly input'!$A:$A,$A71,'Production Data-Weekly input'!$C:$C)=0),"",IF(C71="",D70,C71+D70))</f>
        <v/>
      </c>
      <c r="E71" s="276" t="str">
        <f>IF(F71="","",F71/Data!F$37)</f>
        <v/>
      </c>
      <c r="F71" s="277" t="str">
        <f>IF(D71="","",Data!$F$37-D71)</f>
        <v/>
      </c>
      <c r="G71" s="278" t="str">
        <f>IF(F71="","",IF(SUMIF('Production Data-Daily Input'!$B:$B,"Total "&amp;$A71,'Production Data-Daily Input'!$D:$D)&lt;&gt;0,SUMIF('Production Data-Daily Input'!$B:$B,"Total "&amp;$A71,'Production Data-Daily Input'!$D:$D),IF(SUMIF('Production Data-Weekly input'!$A:$A,$A71,'Production Data-Weekly input'!$C:$C)=0,0,SUMIF('Production Data-Weekly input'!$A:$A,$A71,'Production Data-Weekly input'!$C:$C)/100*7*$F71)))</f>
        <v/>
      </c>
      <c r="H71" s="279" t="str">
        <f>IF(AND(G71="",'Production Data-Weekly input'!C68=""),"",IF(G71="",'Production Data-Weekly input'!C68,G71/F71/7*100))</f>
        <v/>
      </c>
      <c r="I71" s="300" t="str">
        <f>Standard!D63</f>
        <v/>
      </c>
      <c r="J71" s="275">
        <f t="shared" si="6"/>
        <v>0</v>
      </c>
      <c r="K71" s="281" t="str">
        <f>IF(H71="","",J71/Data!F$37)</f>
        <v/>
      </c>
      <c r="L71" s="301" t="str">
        <f>Standard!F63</f>
        <v/>
      </c>
      <c r="M71" s="283" t="str">
        <f>IF(IF(SUMIF('Production Data-Daily Input'!$B:$B,"Total "&amp;$A71,'Production Data-Daily Input'!$G:$G)&lt;&gt;0,SUMIF('Production Data-Daily Input'!$B:$B,"Total "&amp;$A71,'Production Data-Daily Input'!$G:$G),IF(SUMIF('Production Data-Weekly input'!$A:$A,$A71,'Production Data-Weekly input'!$F:$F)="","",SUMIF('Production Data-Weekly input'!$A:$A,$A71,'Production Data-Weekly input'!$F:$F)))=0,"",IF(SUMIF('Production Data-Daily Input'!$B:$B,"Total "&amp;$A71,'Production Data-Daily Input'!$G:$G)&lt;&gt;0,SUMIF('Production Data-Daily Input'!$B:$B,"Total "&amp;$A71,'Production Data-Daily Input'!$G:$G),IF(SUMIF('Production Data-Weekly input'!$A:$A,$A71,'Production Data-Weekly input'!$F:$F)="","",SUMIF('Production Data-Weekly input'!$A:$A,$A71,'Production Data-Weekly input'!$F:$F))))</f>
        <v/>
      </c>
      <c r="N71" s="302" t="str">
        <f>Standard!G63</f>
        <v/>
      </c>
      <c r="O71" s="285" t="str">
        <f t="shared" si="8"/>
        <v/>
      </c>
      <c r="P71" s="303" t="str">
        <f>Standard!H63</f>
        <v/>
      </c>
      <c r="Q71" s="287" t="str">
        <f>IF(Q70="","",IF(AND(H71="",Q70=""),"",IF(O71="","",IF(M71="",IF(Q70="",0,Q70),(M71*H71/100*7*F71/Data!F$37)+IF(Q70="",0,Q70)))))</f>
        <v/>
      </c>
      <c r="R71" s="288" t="str">
        <f>Standard!I63</f>
        <v/>
      </c>
      <c r="S71" s="289" t="str">
        <f>IF(AND(F71="",Q71=""),"",IF(J71&lt;&gt;"",IF(Q71="","",Q71*Data!F$37/J71),""))</f>
        <v/>
      </c>
      <c r="T71" s="290" t="str">
        <f>Standard!J63</f>
        <v/>
      </c>
      <c r="U71" s="291" t="str">
        <f t="shared" si="1"/>
        <v/>
      </c>
      <c r="V71" s="292" t="str">
        <f>IF(F71="","",IF(SUMIF('Production Data-Weekly input'!$A:$A,A71,'Production Data-Weekly input'!$G:$G)&lt;&gt;0,SUMIF('Production Data-Weekly input'!$A:$A,A71,'Production Data-Weekly input'!$G:$G),(SUMIF('Production Data-Daily Input'!$B:$B,"Total "&amp;A71,'Production Data-Daily Input'!$H:$H)*1000/7/F71)))</f>
        <v/>
      </c>
      <c r="W71" s="293" t="str">
        <f t="shared" si="3"/>
        <v/>
      </c>
      <c r="X71" s="293" t="str">
        <f>IF(W71&lt;&gt;"",W71/Data!F$37*1000/((A71-16)*7),"")</f>
        <v/>
      </c>
      <c r="Y71" s="400" t="str">
        <f t="shared" si="9"/>
        <v/>
      </c>
      <c r="Z71" s="294" t="str">
        <f>IF(F71="","",IF(OR(Q71=0,Q71=""),"",IF(W71&lt;&gt;0,W71/(Q71*Data!F$37/1000),"")))</f>
        <v/>
      </c>
      <c r="AA71" s="295" t="str">
        <f>IF(AND(U71=0,SUMIF('Production Data-Weekly input'!$A:$A,$A71,'Production Data-Weekly input'!$H:$H)=0,SUMIF('Production Data-Daily Input'!$B:$B,"Total "&amp;A71,'Production Data-Daily Input'!$I:$I)=0),"",IF(F71="","",IF(SUMIF('Production Data-Weekly input'!$A:$A,$A71,'Production Data-Weekly input'!$H:$H)&lt;&gt;0,SUMIF('Production Data-Weekly input'!$A:$A,$A71,'Production Data-Weekly input'!$H:$H)*7/U71,SUMIF('Production Data-Daily Input'!$B:$B,"Total "&amp;A71,'Production Data-Daily Input'!$I:$I)*7/U71)))</f>
        <v/>
      </c>
      <c r="AB71" s="278">
        <f>SUMIF('Production Data-Daily Input'!$B:$B,"Total "&amp;$A71,'Production Data-Daily Input'!$E:$E)</f>
        <v>0</v>
      </c>
      <c r="AC71" s="296" t="str">
        <f>IF(F71="","",IF(G71&lt;&gt;0,IF(AB71&lt;&gt;0,AB71/G71,'Production Data-Weekly input'!D68/100),""))</f>
        <v/>
      </c>
      <c r="AD71" s="275">
        <f>SUMIF('Production Data-Daily Input'!$B:$B,"Total "&amp;$A71,'Production Data-Daily Input'!$F:$F)</f>
        <v>0</v>
      </c>
      <c r="AE71" s="296" t="str">
        <f>IF(F71="","",IF(G71&lt;&gt;0,IF(AD71&lt;&gt;0,AD71/G71,'Production Data-Weekly input'!E68/100),""))</f>
        <v/>
      </c>
      <c r="AF71" s="275">
        <f t="shared" si="5"/>
        <v>0</v>
      </c>
      <c r="AG71" s="297" t="str">
        <f t="shared" si="10"/>
        <v/>
      </c>
      <c r="AH71" s="298" t="str">
        <f>IF(AND(SUMIF('Production Data-Daily Input'!$B:$B,"Total "&amp;A71,'Production Data-Daily Input'!$J:$J)=0,SUMIF('Production Data-Weekly input'!$A:$A,A71,'Production Data-Weekly input'!$I:$I)=0),"",IF(SUMIF('Production Data-Daily Input'!$B:$B,"Total "&amp;A71,'Production Data-Daily Input'!$J:$J)&lt;&gt;0,SUMIF('Production Data-Daily Input'!$B:$B,"Total "&amp;A71,'Production Data-Daily Input'!$J:$J),SUMIF('Production Data-Weekly input'!$A:$A,A71,'Production Data-Weekly input'!$I:$I)))</f>
        <v/>
      </c>
    </row>
    <row r="72" spans="1:34" s="299" customFormat="1" ht="24.95" customHeight="1" x14ac:dyDescent="0.25">
      <c r="A72" s="273">
        <f t="shared" si="2"/>
        <v>74</v>
      </c>
      <c r="B72" s="429" t="str">
        <f>'Production Data-Daily Input'!B462</f>
        <v/>
      </c>
      <c r="C72" s="274" t="str">
        <f>IF(IF(AND(SUMIF('Production Data-Daily Input'!$B:$B,"Total "&amp;$A72,'Production Data-Daily Input'!$C:$C)="",SUMIF('Production Data-Weekly input'!$A:$A,A72,'Production Data-Weekly input'!$B:$B)=""),"",IF(SUMIF('Production Data-Daily Input'!$B:$B,"Total "&amp;$A72,'Production Data-Daily Input'!$C:$C)&lt;&gt;0,SUMIF('Production Data-Daily Input'!$B:$B,"Total "&amp;$A72,'Production Data-Daily Input'!$C:$C),SUMIF('Production Data-Weekly input'!$A:$A,A72,'Production Data-Weekly input'!$B:$B)/100*Data!$F$37))=0,"",IF(AND(SUMIF('Production Data-Daily Input'!$B:$B,"Total "&amp;$A72,'Production Data-Daily Input'!$C:$C)="",SUMIF('Production Data-Weekly input'!$A:$A,A72,'Production Data-Weekly input'!$B:$B)=""),"",IF(SUMIF('Production Data-Daily Input'!$B:$B,"Total "&amp;$A72,'Production Data-Daily Input'!$C:$C)&lt;&gt;0,SUMIF('Production Data-Daily Input'!$B:$B,"Total "&amp;$A72,'Production Data-Daily Input'!$C:$C),SUMIF('Production Data-Weekly input'!$A:$A,A72,'Production Data-Weekly input'!$B:$B)/100*Data!$F$37)))</f>
        <v/>
      </c>
      <c r="D72" s="275" t="str">
        <f>IF(AND(SUM(C72:$C$88)=0,SUMIF('Production Data-Daily Input'!$B:$B,"Total "&amp;$A72,'Production Data-Daily Input'!$D:$D)=0,SUMIF('Production Data-Weekly input'!$A:$A,$A72,'Production Data-Weekly input'!$C:$C)=0),"",IF(C72="",D71,C72+D71))</f>
        <v/>
      </c>
      <c r="E72" s="276" t="str">
        <f>IF(F72="","",F72/Data!F$37)</f>
        <v/>
      </c>
      <c r="F72" s="277" t="str">
        <f>IF(D72="","",Data!$F$37-D72)</f>
        <v/>
      </c>
      <c r="G72" s="278" t="str">
        <f>IF(F72="","",IF(SUMIF('Production Data-Daily Input'!$B:$B,"Total "&amp;$A72,'Production Data-Daily Input'!$D:$D)&lt;&gt;0,SUMIF('Production Data-Daily Input'!$B:$B,"Total "&amp;$A72,'Production Data-Daily Input'!$D:$D),IF(SUMIF('Production Data-Weekly input'!$A:$A,$A72,'Production Data-Weekly input'!$C:$C)=0,0,SUMIF('Production Data-Weekly input'!$A:$A,$A72,'Production Data-Weekly input'!$C:$C)/100*7*$F72)))</f>
        <v/>
      </c>
      <c r="H72" s="279" t="str">
        <f>IF(AND(G72="",'Production Data-Weekly input'!C69=""),"",IF(G72="",'Production Data-Weekly input'!C69,G72/F72/7*100))</f>
        <v/>
      </c>
      <c r="I72" s="300" t="str">
        <f>Standard!D64</f>
        <v/>
      </c>
      <c r="J72" s="275">
        <f t="shared" si="6"/>
        <v>0</v>
      </c>
      <c r="K72" s="281" t="str">
        <f>IF(H72="","",J72/Data!F$37)</f>
        <v/>
      </c>
      <c r="L72" s="301" t="str">
        <f>Standard!F64</f>
        <v/>
      </c>
      <c r="M72" s="283" t="str">
        <f>IF(IF(SUMIF('Production Data-Daily Input'!$B:$B,"Total "&amp;$A72,'Production Data-Daily Input'!$G:$G)&lt;&gt;0,SUMIF('Production Data-Daily Input'!$B:$B,"Total "&amp;$A72,'Production Data-Daily Input'!$G:$G),IF(SUMIF('Production Data-Weekly input'!$A:$A,$A72,'Production Data-Weekly input'!$F:$F)="","",SUMIF('Production Data-Weekly input'!$A:$A,$A72,'Production Data-Weekly input'!$F:$F)))=0,"",IF(SUMIF('Production Data-Daily Input'!$B:$B,"Total "&amp;$A72,'Production Data-Daily Input'!$G:$G)&lt;&gt;0,SUMIF('Production Data-Daily Input'!$B:$B,"Total "&amp;$A72,'Production Data-Daily Input'!$G:$G),IF(SUMIF('Production Data-Weekly input'!$A:$A,$A72,'Production Data-Weekly input'!$F:$F)="","",SUMIF('Production Data-Weekly input'!$A:$A,$A72,'Production Data-Weekly input'!$F:$F))))</f>
        <v/>
      </c>
      <c r="N72" s="302" t="str">
        <f>Standard!G64</f>
        <v/>
      </c>
      <c r="O72" s="285" t="str">
        <f t="shared" si="8"/>
        <v/>
      </c>
      <c r="P72" s="303" t="str">
        <f>Standard!H64</f>
        <v/>
      </c>
      <c r="Q72" s="287" t="str">
        <f>IF(Q71="","",IF(AND(H72="",Q71=""),"",IF(O72="","",IF(M72="",IF(Q71="",0,Q71),(M72*H72/100*7*F72/Data!F$37)+IF(Q71="",0,Q71)))))</f>
        <v/>
      </c>
      <c r="R72" s="288" t="str">
        <f>Standard!I64</f>
        <v/>
      </c>
      <c r="S72" s="289" t="str">
        <f>IF(AND(F72="",Q72=""),"",IF(J72&lt;&gt;"",IF(Q72="","",Q72*Data!F$37/J72),""))</f>
        <v/>
      </c>
      <c r="T72" s="290" t="str">
        <f>Standard!J64</f>
        <v/>
      </c>
      <c r="U72" s="291" t="str">
        <f t="shared" si="1"/>
        <v/>
      </c>
      <c r="V72" s="292" t="str">
        <f>IF(F72="","",IF(SUMIF('Production Data-Weekly input'!$A:$A,A72,'Production Data-Weekly input'!$G:$G)&lt;&gt;0,SUMIF('Production Data-Weekly input'!$A:$A,A72,'Production Data-Weekly input'!$G:$G),(SUMIF('Production Data-Daily Input'!$B:$B,"Total "&amp;A72,'Production Data-Daily Input'!$H:$H)*1000/7/F72)))</f>
        <v/>
      </c>
      <c r="W72" s="293" t="str">
        <f t="shared" si="3"/>
        <v/>
      </c>
      <c r="X72" s="293" t="str">
        <f>IF(W72&lt;&gt;"",W72/Data!F$37*1000/((A72-16)*7),"")</f>
        <v/>
      </c>
      <c r="Y72" s="400" t="str">
        <f t="shared" si="9"/>
        <v/>
      </c>
      <c r="Z72" s="294" t="str">
        <f>IF(F72="","",IF(OR(Q72=0,Q72=""),"",IF(W72&lt;&gt;0,W72/(Q72*Data!F$37/1000),"")))</f>
        <v/>
      </c>
      <c r="AA72" s="295" t="str">
        <f>IF(AND(U72=0,SUMIF('Production Data-Weekly input'!$A:$A,$A72,'Production Data-Weekly input'!$H:$H)=0,SUMIF('Production Data-Daily Input'!$B:$B,"Total "&amp;A72,'Production Data-Daily Input'!$I:$I)=0),"",IF(F72="","",IF(SUMIF('Production Data-Weekly input'!$A:$A,$A72,'Production Data-Weekly input'!$H:$H)&lt;&gt;0,SUMIF('Production Data-Weekly input'!$A:$A,$A72,'Production Data-Weekly input'!$H:$H)*7/U72,SUMIF('Production Data-Daily Input'!$B:$B,"Total "&amp;A72,'Production Data-Daily Input'!$I:$I)*7/U72)))</f>
        <v/>
      </c>
      <c r="AB72" s="278">
        <f>SUMIF('Production Data-Daily Input'!$B:$B,"Total "&amp;$A72,'Production Data-Daily Input'!$E:$E)</f>
        <v>0</v>
      </c>
      <c r="AC72" s="296" t="str">
        <f>IF(F72="","",IF(G72&lt;&gt;0,IF(AB72&lt;&gt;0,AB72/G72,'Production Data-Weekly input'!D69/100),""))</f>
        <v/>
      </c>
      <c r="AD72" s="275">
        <f>SUMIF('Production Data-Daily Input'!$B:$B,"Total "&amp;$A72,'Production Data-Daily Input'!$F:$F)</f>
        <v>0</v>
      </c>
      <c r="AE72" s="296" t="str">
        <f>IF(F72="","",IF(G72&lt;&gt;0,IF(AD72&lt;&gt;0,AD72/G72,'Production Data-Weekly input'!E69/100),""))</f>
        <v/>
      </c>
      <c r="AF72" s="275">
        <f t="shared" si="5"/>
        <v>0</v>
      </c>
      <c r="AG72" s="297" t="str">
        <f t="shared" si="10"/>
        <v/>
      </c>
      <c r="AH72" s="298" t="str">
        <f>IF(AND(SUMIF('Production Data-Daily Input'!$B:$B,"Total "&amp;A72,'Production Data-Daily Input'!$J:$J)=0,SUMIF('Production Data-Weekly input'!$A:$A,A72,'Production Data-Weekly input'!$I:$I)=0),"",IF(SUMIF('Production Data-Daily Input'!$B:$B,"Total "&amp;A72,'Production Data-Daily Input'!$J:$J)&lt;&gt;0,SUMIF('Production Data-Daily Input'!$B:$B,"Total "&amp;A72,'Production Data-Daily Input'!$J:$J),SUMIF('Production Data-Weekly input'!$A:$A,A72,'Production Data-Weekly input'!$I:$I)))</f>
        <v/>
      </c>
    </row>
    <row r="73" spans="1:34" s="299" customFormat="1" ht="24.95" customHeight="1" x14ac:dyDescent="0.25">
      <c r="A73" s="273">
        <f t="shared" si="2"/>
        <v>75</v>
      </c>
      <c r="B73" s="429" t="str">
        <f>'Production Data-Daily Input'!B470</f>
        <v/>
      </c>
      <c r="C73" s="274" t="str">
        <f>IF(IF(AND(SUMIF('Production Data-Daily Input'!$B:$B,"Total "&amp;$A73,'Production Data-Daily Input'!$C:$C)="",SUMIF('Production Data-Weekly input'!$A:$A,A73,'Production Data-Weekly input'!$B:$B)=""),"",IF(SUMIF('Production Data-Daily Input'!$B:$B,"Total "&amp;$A73,'Production Data-Daily Input'!$C:$C)&lt;&gt;0,SUMIF('Production Data-Daily Input'!$B:$B,"Total "&amp;$A73,'Production Data-Daily Input'!$C:$C),SUMIF('Production Data-Weekly input'!$A:$A,A73,'Production Data-Weekly input'!$B:$B)/100*Data!$F$37))=0,"",IF(AND(SUMIF('Production Data-Daily Input'!$B:$B,"Total "&amp;$A73,'Production Data-Daily Input'!$C:$C)="",SUMIF('Production Data-Weekly input'!$A:$A,A73,'Production Data-Weekly input'!$B:$B)=""),"",IF(SUMIF('Production Data-Daily Input'!$B:$B,"Total "&amp;$A73,'Production Data-Daily Input'!$C:$C)&lt;&gt;0,SUMIF('Production Data-Daily Input'!$B:$B,"Total "&amp;$A73,'Production Data-Daily Input'!$C:$C),SUMIF('Production Data-Weekly input'!$A:$A,A73,'Production Data-Weekly input'!$B:$B)/100*Data!$F$37)))</f>
        <v/>
      </c>
      <c r="D73" s="275" t="str">
        <f>IF(AND(SUM(C73:$C$88)=0,SUMIF('Production Data-Daily Input'!$B:$B,"Total "&amp;$A73,'Production Data-Daily Input'!$D:$D)=0,SUMIF('Production Data-Weekly input'!$A:$A,$A73,'Production Data-Weekly input'!$C:$C)=0),"",IF(C73="",D72,C73+D72))</f>
        <v/>
      </c>
      <c r="E73" s="276" t="str">
        <f>IF(F73="","",F73/Data!F$37)</f>
        <v/>
      </c>
      <c r="F73" s="277" t="str">
        <f>IF(D73="","",Data!$F$37-D73)</f>
        <v/>
      </c>
      <c r="G73" s="278" t="str">
        <f>IF(F73="","",IF(SUMIF('Production Data-Daily Input'!$B:$B,"Total "&amp;$A73,'Production Data-Daily Input'!$D:$D)&lt;&gt;0,SUMIF('Production Data-Daily Input'!$B:$B,"Total "&amp;$A73,'Production Data-Daily Input'!$D:$D),IF(SUMIF('Production Data-Weekly input'!$A:$A,$A73,'Production Data-Weekly input'!$C:$C)=0,0,SUMIF('Production Data-Weekly input'!$A:$A,$A73,'Production Data-Weekly input'!$C:$C)/100*7*$F73)))</f>
        <v/>
      </c>
      <c r="H73" s="279" t="str">
        <f>IF(AND(G73="",'Production Data-Weekly input'!C70=""),"",IF(G73="",'Production Data-Weekly input'!C70,G73/F73/7*100))</f>
        <v/>
      </c>
      <c r="I73" s="300" t="str">
        <f>Standard!D65</f>
        <v/>
      </c>
      <c r="J73" s="275">
        <f t="shared" si="6"/>
        <v>0</v>
      </c>
      <c r="K73" s="281" t="str">
        <f>IF(H73="","",J73/Data!F$37)</f>
        <v/>
      </c>
      <c r="L73" s="301" t="str">
        <f>Standard!F65</f>
        <v/>
      </c>
      <c r="M73" s="283" t="str">
        <f>IF(IF(SUMIF('Production Data-Daily Input'!$B:$B,"Total "&amp;$A73,'Production Data-Daily Input'!$G:$G)&lt;&gt;0,SUMIF('Production Data-Daily Input'!$B:$B,"Total "&amp;$A73,'Production Data-Daily Input'!$G:$G),IF(SUMIF('Production Data-Weekly input'!$A:$A,$A73,'Production Data-Weekly input'!$F:$F)="","",SUMIF('Production Data-Weekly input'!$A:$A,$A73,'Production Data-Weekly input'!$F:$F)))=0,"",IF(SUMIF('Production Data-Daily Input'!$B:$B,"Total "&amp;$A73,'Production Data-Daily Input'!$G:$G)&lt;&gt;0,SUMIF('Production Data-Daily Input'!$B:$B,"Total "&amp;$A73,'Production Data-Daily Input'!$G:$G),IF(SUMIF('Production Data-Weekly input'!$A:$A,$A73,'Production Data-Weekly input'!$F:$F)="","",SUMIF('Production Data-Weekly input'!$A:$A,$A73,'Production Data-Weekly input'!$F:$F))))</f>
        <v/>
      </c>
      <c r="N73" s="302" t="str">
        <f>Standard!G65</f>
        <v/>
      </c>
      <c r="O73" s="285" t="str">
        <f t="shared" si="8"/>
        <v/>
      </c>
      <c r="P73" s="303" t="str">
        <f>Standard!H65</f>
        <v/>
      </c>
      <c r="Q73" s="287" t="str">
        <f>IF(Q72="","",IF(AND(H73="",Q72=""),"",IF(O73="","",IF(M73="",IF(Q72="",0,Q72),(M73*H73/100*7*F73/Data!F$37)+IF(Q72="",0,Q72)))))</f>
        <v/>
      </c>
      <c r="R73" s="288" t="str">
        <f>Standard!I65</f>
        <v/>
      </c>
      <c r="S73" s="289" t="str">
        <f>IF(AND(F73="",Q73=""),"",IF(J73&lt;&gt;"",IF(Q73="","",Q73*Data!F$37/J73),""))</f>
        <v/>
      </c>
      <c r="T73" s="290" t="str">
        <f>Standard!J65</f>
        <v/>
      </c>
      <c r="U73" s="291" t="str">
        <f t="shared" si="1"/>
        <v/>
      </c>
      <c r="V73" s="292" t="str">
        <f>IF(F73="","",IF(SUMIF('Production Data-Weekly input'!$A:$A,A73,'Production Data-Weekly input'!$G:$G)&lt;&gt;0,SUMIF('Production Data-Weekly input'!$A:$A,A73,'Production Data-Weekly input'!$G:$G),(SUMIF('Production Data-Daily Input'!$B:$B,"Total "&amp;A73,'Production Data-Daily Input'!$H:$H)*1000/7/F73)))</f>
        <v/>
      </c>
      <c r="W73" s="293" t="str">
        <f t="shared" si="3"/>
        <v/>
      </c>
      <c r="X73" s="293" t="str">
        <f>IF(W73&lt;&gt;"",W73/Data!F$37*1000/((A73-16)*7),"")</f>
        <v/>
      </c>
      <c r="Y73" s="400" t="str">
        <f t="shared" si="9"/>
        <v/>
      </c>
      <c r="Z73" s="294" t="str">
        <f>IF(F73="","",IF(OR(Q73=0,Q73=""),"",IF(W73&lt;&gt;0,W73/(Q73*Data!F$37/1000),"")))</f>
        <v/>
      </c>
      <c r="AA73" s="295" t="str">
        <f>IF(AND(U73=0,SUMIF('Production Data-Weekly input'!$A:$A,$A73,'Production Data-Weekly input'!$H:$H)=0,SUMIF('Production Data-Daily Input'!$B:$B,"Total "&amp;A73,'Production Data-Daily Input'!$I:$I)=0),"",IF(F73="","",IF(SUMIF('Production Data-Weekly input'!$A:$A,$A73,'Production Data-Weekly input'!$H:$H)&lt;&gt;0,SUMIF('Production Data-Weekly input'!$A:$A,$A73,'Production Data-Weekly input'!$H:$H)*7/U73,SUMIF('Production Data-Daily Input'!$B:$B,"Total "&amp;A73,'Production Data-Daily Input'!$I:$I)*7/U73)))</f>
        <v/>
      </c>
      <c r="AB73" s="278">
        <f>SUMIF('Production Data-Daily Input'!$B:$B,"Total "&amp;$A73,'Production Data-Daily Input'!$E:$E)</f>
        <v>0</v>
      </c>
      <c r="AC73" s="296" t="str">
        <f>IF(F73="","",IF(G73&lt;&gt;0,IF(AB73&lt;&gt;0,AB73/G73,'Production Data-Weekly input'!D70/100),""))</f>
        <v/>
      </c>
      <c r="AD73" s="275">
        <f>SUMIF('Production Data-Daily Input'!$B:$B,"Total "&amp;$A73,'Production Data-Daily Input'!$F:$F)</f>
        <v>0</v>
      </c>
      <c r="AE73" s="296" t="str">
        <f>IF(F73="","",IF(G73&lt;&gt;0,IF(AD73&lt;&gt;0,AD73/G73,'Production Data-Weekly input'!E70/100),""))</f>
        <v/>
      </c>
      <c r="AF73" s="275">
        <f t="shared" si="5"/>
        <v>0</v>
      </c>
      <c r="AG73" s="297" t="str">
        <f t="shared" si="10"/>
        <v/>
      </c>
      <c r="AH73" s="298" t="str">
        <f>IF(AND(SUMIF('Production Data-Daily Input'!$B:$B,"Total "&amp;A73,'Production Data-Daily Input'!$J:$J)=0,SUMIF('Production Data-Weekly input'!$A:$A,A73,'Production Data-Weekly input'!$I:$I)=0),"",IF(SUMIF('Production Data-Daily Input'!$B:$B,"Total "&amp;A73,'Production Data-Daily Input'!$J:$J)&lt;&gt;0,SUMIF('Production Data-Daily Input'!$B:$B,"Total "&amp;A73,'Production Data-Daily Input'!$J:$J),SUMIF('Production Data-Weekly input'!$A:$A,A73,'Production Data-Weekly input'!$I:$I)))</f>
        <v/>
      </c>
    </row>
    <row r="74" spans="1:34" s="299" customFormat="1" ht="24.95" customHeight="1" x14ac:dyDescent="0.25">
      <c r="A74" s="273">
        <f t="shared" si="2"/>
        <v>76</v>
      </c>
      <c r="B74" s="429" t="str">
        <f>'Production Data-Daily Input'!B478</f>
        <v/>
      </c>
      <c r="C74" s="274" t="str">
        <f>IF(IF(AND(SUMIF('Production Data-Daily Input'!$B:$B,"Total "&amp;$A74,'Production Data-Daily Input'!$C:$C)="",SUMIF('Production Data-Weekly input'!$A:$A,A74,'Production Data-Weekly input'!$B:$B)=""),"",IF(SUMIF('Production Data-Daily Input'!$B:$B,"Total "&amp;$A74,'Production Data-Daily Input'!$C:$C)&lt;&gt;0,SUMIF('Production Data-Daily Input'!$B:$B,"Total "&amp;$A74,'Production Data-Daily Input'!$C:$C),SUMIF('Production Data-Weekly input'!$A:$A,A74,'Production Data-Weekly input'!$B:$B)/100*Data!$F$37))=0,"",IF(AND(SUMIF('Production Data-Daily Input'!$B:$B,"Total "&amp;$A74,'Production Data-Daily Input'!$C:$C)="",SUMIF('Production Data-Weekly input'!$A:$A,A74,'Production Data-Weekly input'!$B:$B)=""),"",IF(SUMIF('Production Data-Daily Input'!$B:$B,"Total "&amp;$A74,'Production Data-Daily Input'!$C:$C)&lt;&gt;0,SUMIF('Production Data-Daily Input'!$B:$B,"Total "&amp;$A74,'Production Data-Daily Input'!$C:$C),SUMIF('Production Data-Weekly input'!$A:$A,A74,'Production Data-Weekly input'!$B:$B)/100*Data!$F$37)))</f>
        <v/>
      </c>
      <c r="D74" s="275" t="str">
        <f>IF(AND(SUM(C74:$C$88)=0,SUMIF('Production Data-Daily Input'!$B:$B,"Total "&amp;$A74,'Production Data-Daily Input'!$D:$D)=0,SUMIF('Production Data-Weekly input'!$A:$A,$A74,'Production Data-Weekly input'!$C:$C)=0),"",IF(C74="",D73,C74+D73))</f>
        <v/>
      </c>
      <c r="E74" s="276" t="str">
        <f>IF(F74="","",F74/Data!F$37)</f>
        <v/>
      </c>
      <c r="F74" s="277" t="str">
        <f>IF(D74="","",Data!$F$37-D74)</f>
        <v/>
      </c>
      <c r="G74" s="278" t="str">
        <f>IF(F74="","",IF(SUMIF('Production Data-Daily Input'!$B:$B,"Total "&amp;$A74,'Production Data-Daily Input'!$D:$D)&lt;&gt;0,SUMIF('Production Data-Daily Input'!$B:$B,"Total "&amp;$A74,'Production Data-Daily Input'!$D:$D),IF(SUMIF('Production Data-Weekly input'!$A:$A,$A74,'Production Data-Weekly input'!$C:$C)=0,0,SUMIF('Production Data-Weekly input'!$A:$A,$A74,'Production Data-Weekly input'!$C:$C)/100*7*$F74)))</f>
        <v/>
      </c>
      <c r="H74" s="279" t="str">
        <f>IF(AND(G74="",'Production Data-Weekly input'!C71=""),"",IF(G74="",'Production Data-Weekly input'!C71,G74/F74/7*100))</f>
        <v/>
      </c>
      <c r="I74" s="300" t="str">
        <f>Standard!D66</f>
        <v/>
      </c>
      <c r="J74" s="275">
        <f t="shared" si="6"/>
        <v>0</v>
      </c>
      <c r="K74" s="281" t="str">
        <f>IF(H74="","",J74/Data!F$37)</f>
        <v/>
      </c>
      <c r="L74" s="301" t="str">
        <f>Standard!F66</f>
        <v/>
      </c>
      <c r="M74" s="283" t="str">
        <f>IF(IF(SUMIF('Production Data-Daily Input'!$B:$B,"Total "&amp;$A74,'Production Data-Daily Input'!$G:$G)&lt;&gt;0,SUMIF('Production Data-Daily Input'!$B:$B,"Total "&amp;$A74,'Production Data-Daily Input'!$G:$G),IF(SUMIF('Production Data-Weekly input'!$A:$A,$A74,'Production Data-Weekly input'!$F:$F)="","",SUMIF('Production Data-Weekly input'!$A:$A,$A74,'Production Data-Weekly input'!$F:$F)))=0,"",IF(SUMIF('Production Data-Daily Input'!$B:$B,"Total "&amp;$A74,'Production Data-Daily Input'!$G:$G)&lt;&gt;0,SUMIF('Production Data-Daily Input'!$B:$B,"Total "&amp;$A74,'Production Data-Daily Input'!$G:$G),IF(SUMIF('Production Data-Weekly input'!$A:$A,$A74,'Production Data-Weekly input'!$F:$F)="","",SUMIF('Production Data-Weekly input'!$A:$A,$A74,'Production Data-Weekly input'!$F:$F))))</f>
        <v/>
      </c>
      <c r="N74" s="302" t="str">
        <f>Standard!G66</f>
        <v/>
      </c>
      <c r="O74" s="285" t="str">
        <f t="shared" si="8"/>
        <v/>
      </c>
      <c r="P74" s="303" t="str">
        <f>Standard!H66</f>
        <v/>
      </c>
      <c r="Q74" s="287" t="str">
        <f>IF(Q73="","",IF(AND(H74="",Q73=""),"",IF(O74="","",IF(M74="",IF(Q73="",0,Q73),(M74*H74/100*7*F74/Data!F$37)+IF(Q73="",0,Q73)))))</f>
        <v/>
      </c>
      <c r="R74" s="288" t="str">
        <f>Standard!I66</f>
        <v/>
      </c>
      <c r="S74" s="289" t="str">
        <f>IF(AND(F74="",Q74=""),"",IF(J74&lt;&gt;"",IF(Q74="","",Q74*Data!F$37/J74),""))</f>
        <v/>
      </c>
      <c r="T74" s="290" t="str">
        <f>Standard!J66</f>
        <v/>
      </c>
      <c r="U74" s="291" t="str">
        <f t="shared" si="1"/>
        <v/>
      </c>
      <c r="V74" s="292" t="str">
        <f>IF(F74="","",IF(SUMIF('Production Data-Weekly input'!$A:$A,A74,'Production Data-Weekly input'!$G:$G)&lt;&gt;0,SUMIF('Production Data-Weekly input'!$A:$A,A74,'Production Data-Weekly input'!$G:$G),(SUMIF('Production Data-Daily Input'!$B:$B,"Total "&amp;A74,'Production Data-Daily Input'!$H:$H)*1000/7/F74)))</f>
        <v/>
      </c>
      <c r="W74" s="293" t="str">
        <f t="shared" si="3"/>
        <v/>
      </c>
      <c r="X74" s="293" t="str">
        <f>IF(W74&lt;&gt;"",W74/Data!F$37*1000/((A74-16)*7),"")</f>
        <v/>
      </c>
      <c r="Y74" s="400" t="str">
        <f t="shared" si="9"/>
        <v/>
      </c>
      <c r="Z74" s="294" t="str">
        <f>IF(F74="","",IF(OR(Q74=0,Q74=""),"",IF(W74&lt;&gt;0,W74/(Q74*Data!F$37/1000),"")))</f>
        <v/>
      </c>
      <c r="AA74" s="295" t="str">
        <f>IF(AND(U74=0,SUMIF('Production Data-Weekly input'!$A:$A,$A74,'Production Data-Weekly input'!$H:$H)=0,SUMIF('Production Data-Daily Input'!$B:$B,"Total "&amp;A74,'Production Data-Daily Input'!$I:$I)=0),"",IF(F74="","",IF(SUMIF('Production Data-Weekly input'!$A:$A,$A74,'Production Data-Weekly input'!$H:$H)&lt;&gt;0,SUMIF('Production Data-Weekly input'!$A:$A,$A74,'Production Data-Weekly input'!$H:$H)*7/U74,SUMIF('Production Data-Daily Input'!$B:$B,"Total "&amp;A74,'Production Data-Daily Input'!$I:$I)*7/U74)))</f>
        <v/>
      </c>
      <c r="AB74" s="278">
        <f>SUMIF('Production Data-Daily Input'!$B:$B,"Total "&amp;$A74,'Production Data-Daily Input'!$E:$E)</f>
        <v>0</v>
      </c>
      <c r="AC74" s="296" t="str">
        <f>IF(F74="","",IF(G74&lt;&gt;0,IF(AB74&lt;&gt;0,AB74/G74,'Production Data-Weekly input'!D71/100),""))</f>
        <v/>
      </c>
      <c r="AD74" s="275">
        <f>SUMIF('Production Data-Daily Input'!$B:$B,"Total "&amp;$A74,'Production Data-Daily Input'!$F:$F)</f>
        <v>0</v>
      </c>
      <c r="AE74" s="296" t="str">
        <f>IF(F74="","",IF(G74&lt;&gt;0,IF(AD74&lt;&gt;0,AD74/G74,'Production Data-Weekly input'!E71/100),""))</f>
        <v/>
      </c>
      <c r="AF74" s="275">
        <f t="shared" si="5"/>
        <v>0</v>
      </c>
      <c r="AG74" s="297" t="str">
        <f t="shared" si="10"/>
        <v/>
      </c>
      <c r="AH74" s="298" t="str">
        <f>IF(AND(SUMIF('Production Data-Daily Input'!$B:$B,"Total "&amp;A74,'Production Data-Daily Input'!$J:$J)=0,SUMIF('Production Data-Weekly input'!$A:$A,A74,'Production Data-Weekly input'!$I:$I)=0),"",IF(SUMIF('Production Data-Daily Input'!$B:$B,"Total "&amp;A74,'Production Data-Daily Input'!$J:$J)&lt;&gt;0,SUMIF('Production Data-Daily Input'!$B:$B,"Total "&amp;A74,'Production Data-Daily Input'!$J:$J),SUMIF('Production Data-Weekly input'!$A:$A,A74,'Production Data-Weekly input'!$I:$I)))</f>
        <v/>
      </c>
    </row>
    <row r="75" spans="1:34" s="299" customFormat="1" ht="24.95" customHeight="1" x14ac:dyDescent="0.25">
      <c r="A75" s="273">
        <f t="shared" si="2"/>
        <v>77</v>
      </c>
      <c r="B75" s="429" t="str">
        <f>'Production Data-Daily Input'!B486</f>
        <v/>
      </c>
      <c r="C75" s="274" t="str">
        <f>IF(IF(AND(SUMIF('Production Data-Daily Input'!$B:$B,"Total "&amp;$A75,'Production Data-Daily Input'!$C:$C)="",SUMIF('Production Data-Weekly input'!$A:$A,A75,'Production Data-Weekly input'!$B:$B)=""),"",IF(SUMIF('Production Data-Daily Input'!$B:$B,"Total "&amp;$A75,'Production Data-Daily Input'!$C:$C)&lt;&gt;0,SUMIF('Production Data-Daily Input'!$B:$B,"Total "&amp;$A75,'Production Data-Daily Input'!$C:$C),SUMIF('Production Data-Weekly input'!$A:$A,A75,'Production Data-Weekly input'!$B:$B)/100*Data!$F$37))=0,"",IF(AND(SUMIF('Production Data-Daily Input'!$B:$B,"Total "&amp;$A75,'Production Data-Daily Input'!$C:$C)="",SUMIF('Production Data-Weekly input'!$A:$A,A75,'Production Data-Weekly input'!$B:$B)=""),"",IF(SUMIF('Production Data-Daily Input'!$B:$B,"Total "&amp;$A75,'Production Data-Daily Input'!$C:$C)&lt;&gt;0,SUMIF('Production Data-Daily Input'!$B:$B,"Total "&amp;$A75,'Production Data-Daily Input'!$C:$C),SUMIF('Production Data-Weekly input'!$A:$A,A75,'Production Data-Weekly input'!$B:$B)/100*Data!$F$37)))</f>
        <v/>
      </c>
      <c r="D75" s="275" t="str">
        <f>IF(AND(SUM(C75:$C$88)=0,SUMIF('Production Data-Daily Input'!$B:$B,"Total "&amp;$A75,'Production Data-Daily Input'!$D:$D)=0,SUMIF('Production Data-Weekly input'!$A:$A,$A75,'Production Data-Weekly input'!$C:$C)=0),"",IF(C75="",D74,C75+D74))</f>
        <v/>
      </c>
      <c r="E75" s="276" t="str">
        <f>IF(F75="","",F75/Data!F$37)</f>
        <v/>
      </c>
      <c r="F75" s="277" t="str">
        <f>IF(D75="","",Data!$F$37-D75)</f>
        <v/>
      </c>
      <c r="G75" s="278" t="str">
        <f>IF(F75="","",IF(SUMIF('Production Data-Daily Input'!$B:$B,"Total "&amp;$A75,'Production Data-Daily Input'!$D:$D)&lt;&gt;0,SUMIF('Production Data-Daily Input'!$B:$B,"Total "&amp;$A75,'Production Data-Daily Input'!$D:$D),IF(SUMIF('Production Data-Weekly input'!$A:$A,$A75,'Production Data-Weekly input'!$C:$C)=0,0,SUMIF('Production Data-Weekly input'!$A:$A,$A75,'Production Data-Weekly input'!$C:$C)/100*7*$F75)))</f>
        <v/>
      </c>
      <c r="H75" s="279" t="str">
        <f>IF(AND(G75="",'Production Data-Weekly input'!C72=""),"",IF(G75="",'Production Data-Weekly input'!C72,G75/F75/7*100))</f>
        <v/>
      </c>
      <c r="I75" s="300" t="str">
        <f>Standard!D67</f>
        <v/>
      </c>
      <c r="J75" s="275">
        <f t="shared" si="6"/>
        <v>0</v>
      </c>
      <c r="K75" s="281" t="str">
        <f>IF(H75="","",J75/Data!F$37)</f>
        <v/>
      </c>
      <c r="L75" s="301" t="str">
        <f>Standard!F67</f>
        <v/>
      </c>
      <c r="M75" s="283" t="str">
        <f>IF(IF(SUMIF('Production Data-Daily Input'!$B:$B,"Total "&amp;$A75,'Production Data-Daily Input'!$G:$G)&lt;&gt;0,SUMIF('Production Data-Daily Input'!$B:$B,"Total "&amp;$A75,'Production Data-Daily Input'!$G:$G),IF(SUMIF('Production Data-Weekly input'!$A:$A,$A75,'Production Data-Weekly input'!$F:$F)="","",SUMIF('Production Data-Weekly input'!$A:$A,$A75,'Production Data-Weekly input'!$F:$F)))=0,"",IF(SUMIF('Production Data-Daily Input'!$B:$B,"Total "&amp;$A75,'Production Data-Daily Input'!$G:$G)&lt;&gt;0,SUMIF('Production Data-Daily Input'!$B:$B,"Total "&amp;$A75,'Production Data-Daily Input'!$G:$G),IF(SUMIF('Production Data-Weekly input'!$A:$A,$A75,'Production Data-Weekly input'!$F:$F)="","",SUMIF('Production Data-Weekly input'!$A:$A,$A75,'Production Data-Weekly input'!$F:$F))))</f>
        <v/>
      </c>
      <c r="N75" s="302" t="str">
        <f>Standard!G67</f>
        <v/>
      </c>
      <c r="O75" s="285" t="str">
        <f t="shared" si="8"/>
        <v/>
      </c>
      <c r="P75" s="303" t="str">
        <f>Standard!H67</f>
        <v/>
      </c>
      <c r="Q75" s="287" t="str">
        <f>IF(Q74="","",IF(AND(H75="",Q74=""),"",IF(O75="","",IF(M75="",IF(Q74="",0,Q74),(M75*H75/100*7*F75/Data!F$37)+IF(Q74="",0,Q74)))))</f>
        <v/>
      </c>
      <c r="R75" s="288" t="str">
        <f>Standard!I67</f>
        <v/>
      </c>
      <c r="S75" s="289" t="str">
        <f>IF(AND(F75="",Q75=""),"",IF(J75&lt;&gt;"",IF(Q75="","",Q75*Data!F$37/J75),""))</f>
        <v/>
      </c>
      <c r="T75" s="290" t="str">
        <f>Standard!J67</f>
        <v/>
      </c>
      <c r="U75" s="291" t="str">
        <f t="shared" si="1"/>
        <v/>
      </c>
      <c r="V75" s="292" t="str">
        <f>IF(F75="","",IF(SUMIF('Production Data-Weekly input'!$A:$A,A75,'Production Data-Weekly input'!$G:$G)&lt;&gt;0,SUMIF('Production Data-Weekly input'!$A:$A,A75,'Production Data-Weekly input'!$G:$G),(SUMIF('Production Data-Daily Input'!$B:$B,"Total "&amp;A75,'Production Data-Daily Input'!$H:$H)*1000/7/F75)))</f>
        <v/>
      </c>
      <c r="W75" s="293" t="str">
        <f t="shared" si="3"/>
        <v/>
      </c>
      <c r="X75" s="293" t="str">
        <f>IF(W75&lt;&gt;"",W75/Data!F$37*1000/((A75-16)*7),"")</f>
        <v/>
      </c>
      <c r="Y75" s="400" t="str">
        <f t="shared" si="9"/>
        <v/>
      </c>
      <c r="Z75" s="294" t="str">
        <f>IF(F75="","",IF(OR(Q75=0,Q75=""),"",IF(W75&lt;&gt;0,W75/(Q75*Data!F$37/1000),"")))</f>
        <v/>
      </c>
      <c r="AA75" s="295" t="str">
        <f>IF(AND(U75=0,SUMIF('Production Data-Weekly input'!$A:$A,$A75,'Production Data-Weekly input'!$H:$H)=0,SUMIF('Production Data-Daily Input'!$B:$B,"Total "&amp;A75,'Production Data-Daily Input'!$I:$I)=0),"",IF(F75="","",IF(SUMIF('Production Data-Weekly input'!$A:$A,$A75,'Production Data-Weekly input'!$H:$H)&lt;&gt;0,SUMIF('Production Data-Weekly input'!$A:$A,$A75,'Production Data-Weekly input'!$H:$H)*7/U75,SUMIF('Production Data-Daily Input'!$B:$B,"Total "&amp;A75,'Production Data-Daily Input'!$I:$I)*7/U75)))</f>
        <v/>
      </c>
      <c r="AB75" s="278">
        <f>SUMIF('Production Data-Daily Input'!$B:$B,"Total "&amp;$A75,'Production Data-Daily Input'!$E:$E)</f>
        <v>0</v>
      </c>
      <c r="AC75" s="296" t="str">
        <f>IF(F75="","",IF(G75&lt;&gt;0,IF(AB75&lt;&gt;0,AB75/G75,'Production Data-Weekly input'!D72/100),""))</f>
        <v/>
      </c>
      <c r="AD75" s="275">
        <f>SUMIF('Production Data-Daily Input'!$B:$B,"Total "&amp;$A75,'Production Data-Daily Input'!$F:$F)</f>
        <v>0</v>
      </c>
      <c r="AE75" s="296" t="str">
        <f>IF(F75="","",IF(G75&lt;&gt;0,IF(AD75&lt;&gt;0,AD75/G75,'Production Data-Weekly input'!E72/100),""))</f>
        <v/>
      </c>
      <c r="AF75" s="275">
        <f t="shared" si="5"/>
        <v>0</v>
      </c>
      <c r="AG75" s="297" t="str">
        <f t="shared" si="10"/>
        <v/>
      </c>
      <c r="AH75" s="298" t="str">
        <f>IF(AND(SUMIF('Production Data-Daily Input'!$B:$B,"Total "&amp;A75,'Production Data-Daily Input'!$J:$J)=0,SUMIF('Production Data-Weekly input'!$A:$A,A75,'Production Data-Weekly input'!$I:$I)=0),"",IF(SUMIF('Production Data-Daily Input'!$B:$B,"Total "&amp;A75,'Production Data-Daily Input'!$J:$J)&lt;&gt;0,SUMIF('Production Data-Daily Input'!$B:$B,"Total "&amp;A75,'Production Data-Daily Input'!$J:$J),SUMIF('Production Data-Weekly input'!$A:$A,A75,'Production Data-Weekly input'!$I:$I)))</f>
        <v/>
      </c>
    </row>
    <row r="76" spans="1:34" s="299" customFormat="1" ht="24.95" customHeight="1" x14ac:dyDescent="0.25">
      <c r="A76" s="273">
        <f t="shared" si="2"/>
        <v>78</v>
      </c>
      <c r="B76" s="429" t="str">
        <f>'Production Data-Daily Input'!B494</f>
        <v/>
      </c>
      <c r="C76" s="274" t="str">
        <f>IF(IF(AND(SUMIF('Production Data-Daily Input'!$B:$B,"Total "&amp;$A76,'Production Data-Daily Input'!$C:$C)="",SUMIF('Production Data-Weekly input'!$A:$A,A76,'Production Data-Weekly input'!$B:$B)=""),"",IF(SUMIF('Production Data-Daily Input'!$B:$B,"Total "&amp;$A76,'Production Data-Daily Input'!$C:$C)&lt;&gt;0,SUMIF('Production Data-Daily Input'!$B:$B,"Total "&amp;$A76,'Production Data-Daily Input'!$C:$C),SUMIF('Production Data-Weekly input'!$A:$A,A76,'Production Data-Weekly input'!$B:$B)/100*Data!$F$37))=0,"",IF(AND(SUMIF('Production Data-Daily Input'!$B:$B,"Total "&amp;$A76,'Production Data-Daily Input'!$C:$C)="",SUMIF('Production Data-Weekly input'!$A:$A,A76,'Production Data-Weekly input'!$B:$B)=""),"",IF(SUMIF('Production Data-Daily Input'!$B:$B,"Total "&amp;$A76,'Production Data-Daily Input'!$C:$C)&lt;&gt;0,SUMIF('Production Data-Daily Input'!$B:$B,"Total "&amp;$A76,'Production Data-Daily Input'!$C:$C),SUMIF('Production Data-Weekly input'!$A:$A,A76,'Production Data-Weekly input'!$B:$B)/100*Data!$F$37)))</f>
        <v/>
      </c>
      <c r="D76" s="275" t="str">
        <f>IF(AND(SUM(C76:$C$88)=0,SUMIF('Production Data-Daily Input'!$B:$B,"Total "&amp;$A76,'Production Data-Daily Input'!$D:$D)=0,SUMIF('Production Data-Weekly input'!$A:$A,$A76,'Production Data-Weekly input'!$C:$C)=0),"",IF(C76="",D75,C76+D75))</f>
        <v/>
      </c>
      <c r="E76" s="276" t="str">
        <f>IF(F76="","",F76/Data!F$37)</f>
        <v/>
      </c>
      <c r="F76" s="277" t="str">
        <f>IF(D76="","",Data!$F$37-D76)</f>
        <v/>
      </c>
      <c r="G76" s="278" t="str">
        <f>IF(F76="","",IF(SUMIF('Production Data-Daily Input'!$B:$B,"Total "&amp;$A76,'Production Data-Daily Input'!$D:$D)&lt;&gt;0,SUMIF('Production Data-Daily Input'!$B:$B,"Total "&amp;$A76,'Production Data-Daily Input'!$D:$D),IF(SUMIF('Production Data-Weekly input'!$A:$A,$A76,'Production Data-Weekly input'!$C:$C)=0,0,SUMIF('Production Data-Weekly input'!$A:$A,$A76,'Production Data-Weekly input'!$C:$C)/100*7*$F76)))</f>
        <v/>
      </c>
      <c r="H76" s="279" t="str">
        <f>IF(AND(G76="",'Production Data-Weekly input'!C73=""),"",IF(G76="",'Production Data-Weekly input'!C73,G76/F76/7*100))</f>
        <v/>
      </c>
      <c r="I76" s="300" t="str">
        <f>Standard!D68</f>
        <v/>
      </c>
      <c r="J76" s="275">
        <f t="shared" si="6"/>
        <v>0</v>
      </c>
      <c r="K76" s="281" t="str">
        <f>IF(H76="","",J76/Data!F$37)</f>
        <v/>
      </c>
      <c r="L76" s="301" t="str">
        <f>Standard!F68</f>
        <v/>
      </c>
      <c r="M76" s="283" t="str">
        <f>IF(IF(SUMIF('Production Data-Daily Input'!$B:$B,"Total "&amp;$A76,'Production Data-Daily Input'!$G:$G)&lt;&gt;0,SUMIF('Production Data-Daily Input'!$B:$B,"Total "&amp;$A76,'Production Data-Daily Input'!$G:$G),IF(SUMIF('Production Data-Weekly input'!$A:$A,$A76,'Production Data-Weekly input'!$F:$F)="","",SUMIF('Production Data-Weekly input'!$A:$A,$A76,'Production Data-Weekly input'!$F:$F)))=0,"",IF(SUMIF('Production Data-Daily Input'!$B:$B,"Total "&amp;$A76,'Production Data-Daily Input'!$G:$G)&lt;&gt;0,SUMIF('Production Data-Daily Input'!$B:$B,"Total "&amp;$A76,'Production Data-Daily Input'!$G:$G),IF(SUMIF('Production Data-Weekly input'!$A:$A,$A76,'Production Data-Weekly input'!$F:$F)="","",SUMIF('Production Data-Weekly input'!$A:$A,$A76,'Production Data-Weekly input'!$F:$F))))</f>
        <v/>
      </c>
      <c r="N76" s="302" t="str">
        <f>Standard!G68</f>
        <v/>
      </c>
      <c r="O76" s="285" t="str">
        <f t="shared" si="8"/>
        <v/>
      </c>
      <c r="P76" s="303" t="str">
        <f>Standard!H68</f>
        <v/>
      </c>
      <c r="Q76" s="287" t="str">
        <f>IF(Q75="","",IF(AND(H76="",Q75=""),"",IF(O76="","",IF(M76="",IF(Q75="",0,Q75),(M76*H76/100*7*F76/Data!F$37)+IF(Q75="",0,Q75)))))</f>
        <v/>
      </c>
      <c r="R76" s="288" t="str">
        <f>Standard!I68</f>
        <v/>
      </c>
      <c r="S76" s="289" t="str">
        <f>IF(AND(F76="",Q76=""),"",IF(J76&lt;&gt;"",IF(Q76="","",Q76*Data!F$37/J76),""))</f>
        <v/>
      </c>
      <c r="T76" s="290" t="str">
        <f>Standard!J68</f>
        <v/>
      </c>
      <c r="U76" s="291" t="str">
        <f t="shared" si="1"/>
        <v/>
      </c>
      <c r="V76" s="292" t="str">
        <f>IF(F76="","",IF(SUMIF('Production Data-Weekly input'!$A:$A,A76,'Production Data-Weekly input'!$G:$G)&lt;&gt;0,SUMIF('Production Data-Weekly input'!$A:$A,A76,'Production Data-Weekly input'!$G:$G),(SUMIF('Production Data-Daily Input'!$B:$B,"Total "&amp;A76,'Production Data-Daily Input'!$H:$H)*1000/7/F76)))</f>
        <v/>
      </c>
      <c r="W76" s="293" t="str">
        <f t="shared" si="3"/>
        <v/>
      </c>
      <c r="X76" s="293" t="str">
        <f>IF(W76&lt;&gt;"",W76/Data!F$37*1000/((A76-16)*7),"")</f>
        <v/>
      </c>
      <c r="Y76" s="400" t="str">
        <f t="shared" si="9"/>
        <v/>
      </c>
      <c r="Z76" s="294" t="str">
        <f>IF(F76="","",IF(OR(Q76=0,Q76=""),"",IF(W76&lt;&gt;0,W76/(Q76*Data!F$37/1000),"")))</f>
        <v/>
      </c>
      <c r="AA76" s="295" t="str">
        <f>IF(AND(U76=0,SUMIF('Production Data-Weekly input'!$A:$A,$A76,'Production Data-Weekly input'!$H:$H)=0,SUMIF('Production Data-Daily Input'!$B:$B,"Total "&amp;A76,'Production Data-Daily Input'!$I:$I)=0),"",IF(F76="","",IF(SUMIF('Production Data-Weekly input'!$A:$A,$A76,'Production Data-Weekly input'!$H:$H)&lt;&gt;0,SUMIF('Production Data-Weekly input'!$A:$A,$A76,'Production Data-Weekly input'!$H:$H)*7/U76,SUMIF('Production Data-Daily Input'!$B:$B,"Total "&amp;A76,'Production Data-Daily Input'!$I:$I)*7/U76)))</f>
        <v/>
      </c>
      <c r="AB76" s="278">
        <f>SUMIF('Production Data-Daily Input'!$B:$B,"Total "&amp;$A76,'Production Data-Daily Input'!$E:$E)</f>
        <v>0</v>
      </c>
      <c r="AC76" s="296" t="str">
        <f>IF(F76="","",IF(G76&lt;&gt;0,IF(AB76&lt;&gt;0,AB76/G76,'Production Data-Weekly input'!D73/100),""))</f>
        <v/>
      </c>
      <c r="AD76" s="275">
        <f>SUMIF('Production Data-Daily Input'!$B:$B,"Total "&amp;$A76,'Production Data-Daily Input'!$F:$F)</f>
        <v>0</v>
      </c>
      <c r="AE76" s="296" t="str">
        <f>IF(F76="","",IF(G76&lt;&gt;0,IF(AD76&lt;&gt;0,AD76/G76,'Production Data-Weekly input'!E73/100),""))</f>
        <v/>
      </c>
      <c r="AF76" s="275">
        <f t="shared" si="5"/>
        <v>0</v>
      </c>
      <c r="AG76" s="297" t="str">
        <f t="shared" si="10"/>
        <v/>
      </c>
      <c r="AH76" s="298" t="str">
        <f>IF(AND(SUMIF('Production Data-Daily Input'!$B:$B,"Total "&amp;A76,'Production Data-Daily Input'!$J:$J)=0,SUMIF('Production Data-Weekly input'!$A:$A,A76,'Production Data-Weekly input'!$I:$I)=0),"",IF(SUMIF('Production Data-Daily Input'!$B:$B,"Total "&amp;A76,'Production Data-Daily Input'!$J:$J)&lt;&gt;0,SUMIF('Production Data-Daily Input'!$B:$B,"Total "&amp;A76,'Production Data-Daily Input'!$J:$J),SUMIF('Production Data-Weekly input'!$A:$A,A76,'Production Data-Weekly input'!$I:$I)))</f>
        <v/>
      </c>
    </row>
    <row r="77" spans="1:34" s="299" customFormat="1" ht="24.95" customHeight="1" x14ac:dyDescent="0.25">
      <c r="A77" s="273">
        <f t="shared" si="2"/>
        <v>79</v>
      </c>
      <c r="B77" s="429" t="str">
        <f>'Production Data-Daily Input'!B502</f>
        <v/>
      </c>
      <c r="C77" s="274" t="str">
        <f>IF(IF(AND(SUMIF('Production Data-Daily Input'!$B:$B,"Total "&amp;$A77,'Production Data-Daily Input'!$C:$C)="",SUMIF('Production Data-Weekly input'!$A:$A,A77,'Production Data-Weekly input'!$B:$B)=""),"",IF(SUMIF('Production Data-Daily Input'!$B:$B,"Total "&amp;$A77,'Production Data-Daily Input'!$C:$C)&lt;&gt;0,SUMIF('Production Data-Daily Input'!$B:$B,"Total "&amp;$A77,'Production Data-Daily Input'!$C:$C),SUMIF('Production Data-Weekly input'!$A:$A,A77,'Production Data-Weekly input'!$B:$B)/100*Data!$F$37))=0,"",IF(AND(SUMIF('Production Data-Daily Input'!$B:$B,"Total "&amp;$A77,'Production Data-Daily Input'!$C:$C)="",SUMIF('Production Data-Weekly input'!$A:$A,A77,'Production Data-Weekly input'!$B:$B)=""),"",IF(SUMIF('Production Data-Daily Input'!$B:$B,"Total "&amp;$A77,'Production Data-Daily Input'!$C:$C)&lt;&gt;0,SUMIF('Production Data-Daily Input'!$B:$B,"Total "&amp;$A77,'Production Data-Daily Input'!$C:$C),SUMIF('Production Data-Weekly input'!$A:$A,A77,'Production Data-Weekly input'!$B:$B)/100*Data!$F$37)))</f>
        <v/>
      </c>
      <c r="D77" s="275" t="str">
        <f>IF(AND(SUM(C77:$C$88)=0,SUMIF('Production Data-Daily Input'!$B:$B,"Total "&amp;$A77,'Production Data-Daily Input'!$D:$D)=0,SUMIF('Production Data-Weekly input'!$A:$A,$A77,'Production Data-Weekly input'!$C:$C)=0),"",IF(C77="",D76,C77+D76))</f>
        <v/>
      </c>
      <c r="E77" s="276" t="str">
        <f>IF(F77="","",F77/Data!F$37)</f>
        <v/>
      </c>
      <c r="F77" s="277" t="str">
        <f>IF(D77="","",Data!$F$37-D77)</f>
        <v/>
      </c>
      <c r="G77" s="278" t="str">
        <f>IF(F77="","",IF(SUMIF('Production Data-Daily Input'!$B:$B,"Total "&amp;$A77,'Production Data-Daily Input'!$D:$D)&lt;&gt;0,SUMIF('Production Data-Daily Input'!$B:$B,"Total "&amp;$A77,'Production Data-Daily Input'!$D:$D),IF(SUMIF('Production Data-Weekly input'!$A:$A,$A77,'Production Data-Weekly input'!$C:$C)=0,0,SUMIF('Production Data-Weekly input'!$A:$A,$A77,'Production Data-Weekly input'!$C:$C)/100*7*$F77)))</f>
        <v/>
      </c>
      <c r="H77" s="279" t="str">
        <f>IF(AND(G77="",'Production Data-Weekly input'!C74=""),"",IF(G77="",'Production Data-Weekly input'!C74,G77/F77/7*100))</f>
        <v/>
      </c>
      <c r="I77" s="300" t="str">
        <f>Standard!D69</f>
        <v/>
      </c>
      <c r="J77" s="275">
        <f t="shared" si="6"/>
        <v>0</v>
      </c>
      <c r="K77" s="281" t="str">
        <f>IF(H77="","",J77/Data!F$37)</f>
        <v/>
      </c>
      <c r="L77" s="301" t="str">
        <f>Standard!F69</f>
        <v/>
      </c>
      <c r="M77" s="283" t="str">
        <f>IF(IF(SUMIF('Production Data-Daily Input'!$B:$B,"Total "&amp;$A77,'Production Data-Daily Input'!$G:$G)&lt;&gt;0,SUMIF('Production Data-Daily Input'!$B:$B,"Total "&amp;$A77,'Production Data-Daily Input'!$G:$G),IF(SUMIF('Production Data-Weekly input'!$A:$A,$A77,'Production Data-Weekly input'!$F:$F)="","",SUMIF('Production Data-Weekly input'!$A:$A,$A77,'Production Data-Weekly input'!$F:$F)))=0,"",IF(SUMIF('Production Data-Daily Input'!$B:$B,"Total "&amp;$A77,'Production Data-Daily Input'!$G:$G)&lt;&gt;0,SUMIF('Production Data-Daily Input'!$B:$B,"Total "&amp;$A77,'Production Data-Daily Input'!$G:$G),IF(SUMIF('Production Data-Weekly input'!$A:$A,$A77,'Production Data-Weekly input'!$F:$F)="","",SUMIF('Production Data-Weekly input'!$A:$A,$A77,'Production Data-Weekly input'!$F:$F))))</f>
        <v/>
      </c>
      <c r="N77" s="302" t="str">
        <f>Standard!G69</f>
        <v/>
      </c>
      <c r="O77" s="285" t="str">
        <f t="shared" si="8"/>
        <v/>
      </c>
      <c r="P77" s="303" t="str">
        <f>Standard!H69</f>
        <v/>
      </c>
      <c r="Q77" s="287" t="str">
        <f>IF(Q76="","",IF(AND(H77="",Q76=""),"",IF(O77="","",IF(M77="",IF(Q76="",0,Q76),(M77*H77/100*7*F77/Data!F$37)+IF(Q76="",0,Q76)))))</f>
        <v/>
      </c>
      <c r="R77" s="288" t="str">
        <f>Standard!I69</f>
        <v/>
      </c>
      <c r="S77" s="289" t="str">
        <f>IF(AND(F77="",Q77=""),"",IF(J77&lt;&gt;"",IF(Q77="","",Q77*Data!F$37/J77),""))</f>
        <v/>
      </c>
      <c r="T77" s="290" t="str">
        <f>Standard!J69</f>
        <v/>
      </c>
      <c r="U77" s="291" t="str">
        <f t="shared" si="1"/>
        <v/>
      </c>
      <c r="V77" s="292" t="str">
        <f>IF(F77="","",IF(SUMIF('Production Data-Weekly input'!$A:$A,A77,'Production Data-Weekly input'!$G:$G)&lt;&gt;0,SUMIF('Production Data-Weekly input'!$A:$A,A77,'Production Data-Weekly input'!$G:$G),(SUMIF('Production Data-Daily Input'!$B:$B,"Total "&amp;A77,'Production Data-Daily Input'!$H:$H)*1000/7/F77)))</f>
        <v/>
      </c>
      <c r="W77" s="293" t="str">
        <f t="shared" si="3"/>
        <v/>
      </c>
      <c r="X77" s="293" t="str">
        <f>IF(W77&lt;&gt;"",W77/Data!F$37*1000/((A77-16)*7),"")</f>
        <v/>
      </c>
      <c r="Y77" s="400" t="str">
        <f t="shared" si="9"/>
        <v/>
      </c>
      <c r="Z77" s="294" t="str">
        <f>IF(F77="","",IF(OR(Q77=0,Q77=""),"",IF(W77&lt;&gt;0,W77/(Q77*Data!F$37/1000),"")))</f>
        <v/>
      </c>
      <c r="AA77" s="295" t="str">
        <f>IF(AND(U77=0,SUMIF('Production Data-Weekly input'!$A:$A,$A77,'Production Data-Weekly input'!$H:$H)=0,SUMIF('Production Data-Daily Input'!$B:$B,"Total "&amp;A77,'Production Data-Daily Input'!$I:$I)=0),"",IF(F77="","",IF(SUMIF('Production Data-Weekly input'!$A:$A,$A77,'Production Data-Weekly input'!$H:$H)&lt;&gt;0,SUMIF('Production Data-Weekly input'!$A:$A,$A77,'Production Data-Weekly input'!$H:$H)*7/U77,SUMIF('Production Data-Daily Input'!$B:$B,"Total "&amp;A77,'Production Data-Daily Input'!$I:$I)*7/U77)))</f>
        <v/>
      </c>
      <c r="AB77" s="278">
        <f>SUMIF('Production Data-Daily Input'!$B:$B,"Total "&amp;$A77,'Production Data-Daily Input'!$E:$E)</f>
        <v>0</v>
      </c>
      <c r="AC77" s="296" t="str">
        <f>IF(F77="","",IF(G77&lt;&gt;0,IF(AB77&lt;&gt;0,AB77/G77,'Production Data-Weekly input'!D74/100),""))</f>
        <v/>
      </c>
      <c r="AD77" s="275">
        <f>SUMIF('Production Data-Daily Input'!$B:$B,"Total "&amp;$A77,'Production Data-Daily Input'!$F:$F)</f>
        <v>0</v>
      </c>
      <c r="AE77" s="296" t="str">
        <f>IF(F77="","",IF(G77&lt;&gt;0,IF(AD77&lt;&gt;0,AD77/G77,'Production Data-Weekly input'!E74/100),""))</f>
        <v/>
      </c>
      <c r="AF77" s="275">
        <f t="shared" si="5"/>
        <v>0</v>
      </c>
      <c r="AG77" s="297" t="str">
        <f t="shared" si="10"/>
        <v/>
      </c>
      <c r="AH77" s="298" t="str">
        <f>IF(AND(SUMIF('Production Data-Daily Input'!$B:$B,"Total "&amp;A77,'Production Data-Daily Input'!$J:$J)=0,SUMIF('Production Data-Weekly input'!$A:$A,A77,'Production Data-Weekly input'!$I:$I)=0),"",IF(SUMIF('Production Data-Daily Input'!$B:$B,"Total "&amp;A77,'Production Data-Daily Input'!$J:$J)&lt;&gt;0,SUMIF('Production Data-Daily Input'!$B:$B,"Total "&amp;A77,'Production Data-Daily Input'!$J:$J),SUMIF('Production Data-Weekly input'!$A:$A,A77,'Production Data-Weekly input'!$I:$I)))</f>
        <v/>
      </c>
    </row>
    <row r="78" spans="1:34" s="299" customFormat="1" ht="24.95" customHeight="1" x14ac:dyDescent="0.25">
      <c r="A78" s="273">
        <f t="shared" si="2"/>
        <v>80</v>
      </c>
      <c r="B78" s="429" t="str">
        <f>'Production Data-Daily Input'!B510</f>
        <v/>
      </c>
      <c r="C78" s="274" t="str">
        <f>IF(IF(AND(SUMIF('Production Data-Daily Input'!$B:$B,"Total "&amp;$A78,'Production Data-Daily Input'!$C:$C)="",SUMIF('Production Data-Weekly input'!$A:$A,A78,'Production Data-Weekly input'!$B:$B)=""),"",IF(SUMIF('Production Data-Daily Input'!$B:$B,"Total "&amp;$A78,'Production Data-Daily Input'!$C:$C)&lt;&gt;0,SUMIF('Production Data-Daily Input'!$B:$B,"Total "&amp;$A78,'Production Data-Daily Input'!$C:$C),SUMIF('Production Data-Weekly input'!$A:$A,A78,'Production Data-Weekly input'!$B:$B)/100*Data!$F$37))=0,"",IF(AND(SUMIF('Production Data-Daily Input'!$B:$B,"Total "&amp;$A78,'Production Data-Daily Input'!$C:$C)="",SUMIF('Production Data-Weekly input'!$A:$A,A78,'Production Data-Weekly input'!$B:$B)=""),"",IF(SUMIF('Production Data-Daily Input'!$B:$B,"Total "&amp;$A78,'Production Data-Daily Input'!$C:$C)&lt;&gt;0,SUMIF('Production Data-Daily Input'!$B:$B,"Total "&amp;$A78,'Production Data-Daily Input'!$C:$C),SUMIF('Production Data-Weekly input'!$A:$A,A78,'Production Data-Weekly input'!$B:$B)/100*Data!$F$37)))</f>
        <v/>
      </c>
      <c r="D78" s="275" t="str">
        <f>IF(AND(SUM(C78:$C$88)=0,SUMIF('Production Data-Daily Input'!$B:$B,"Total "&amp;$A78,'Production Data-Daily Input'!$D:$D)=0,SUMIF('Production Data-Weekly input'!$A:$A,$A78,'Production Data-Weekly input'!$C:$C)=0),"",IF(C78="",D77,C78+D77))</f>
        <v/>
      </c>
      <c r="E78" s="276" t="str">
        <f>IF(F78="","",F78/Data!F$37)</f>
        <v/>
      </c>
      <c r="F78" s="277" t="str">
        <f>IF(D78="","",Data!$F$37-D78)</f>
        <v/>
      </c>
      <c r="G78" s="278" t="str">
        <f>IF(F78="","",IF(SUMIF('Production Data-Daily Input'!$B:$B,"Total "&amp;$A78,'Production Data-Daily Input'!$D:$D)&lt;&gt;0,SUMIF('Production Data-Daily Input'!$B:$B,"Total "&amp;$A78,'Production Data-Daily Input'!$D:$D),IF(SUMIF('Production Data-Weekly input'!$A:$A,$A78,'Production Data-Weekly input'!$C:$C)=0,0,SUMIF('Production Data-Weekly input'!$A:$A,$A78,'Production Data-Weekly input'!$C:$C)/100*7*$F78)))</f>
        <v/>
      </c>
      <c r="H78" s="279" t="str">
        <f>IF(AND(G78="",'Production Data-Weekly input'!C75=""),"",IF(G78="",'Production Data-Weekly input'!C75,G78/F78/7*100))</f>
        <v/>
      </c>
      <c r="I78" s="300" t="str">
        <f>Standard!D70</f>
        <v/>
      </c>
      <c r="J78" s="275">
        <f t="shared" si="6"/>
        <v>0</v>
      </c>
      <c r="K78" s="281" t="str">
        <f>IF(H78="","",J78/Data!F$37)</f>
        <v/>
      </c>
      <c r="L78" s="301" t="str">
        <f>Standard!F70</f>
        <v/>
      </c>
      <c r="M78" s="283" t="str">
        <f>IF(IF(SUMIF('Production Data-Daily Input'!$B:$B,"Total "&amp;$A78,'Production Data-Daily Input'!$G:$G)&lt;&gt;0,SUMIF('Production Data-Daily Input'!$B:$B,"Total "&amp;$A78,'Production Data-Daily Input'!$G:$G),IF(SUMIF('Production Data-Weekly input'!$A:$A,$A78,'Production Data-Weekly input'!$F:$F)="","",SUMIF('Production Data-Weekly input'!$A:$A,$A78,'Production Data-Weekly input'!$F:$F)))=0,"",IF(SUMIF('Production Data-Daily Input'!$B:$B,"Total "&amp;$A78,'Production Data-Daily Input'!$G:$G)&lt;&gt;0,SUMIF('Production Data-Daily Input'!$B:$B,"Total "&amp;$A78,'Production Data-Daily Input'!$G:$G),IF(SUMIF('Production Data-Weekly input'!$A:$A,$A78,'Production Data-Weekly input'!$F:$F)="","",SUMIF('Production Data-Weekly input'!$A:$A,$A78,'Production Data-Weekly input'!$F:$F))))</f>
        <v/>
      </c>
      <c r="N78" s="302" t="str">
        <f>Standard!G70</f>
        <v/>
      </c>
      <c r="O78" s="285" t="str">
        <f t="shared" si="8"/>
        <v/>
      </c>
      <c r="P78" s="303" t="str">
        <f>Standard!H70</f>
        <v/>
      </c>
      <c r="Q78" s="287" t="str">
        <f>IF(Q77="","",IF(AND(H78="",Q77=""),"",IF(O78="","",IF(M78="",IF(Q77="",0,Q77),(M78*H78/100*7*F78/Data!F$37)+IF(Q77="",0,Q77)))))</f>
        <v/>
      </c>
      <c r="R78" s="288" t="str">
        <f>Standard!I70</f>
        <v/>
      </c>
      <c r="S78" s="289" t="str">
        <f>IF(AND(F78="",Q78=""),"",IF(J78&lt;&gt;"",IF(Q78="","",Q78*Data!F$37/J78),""))</f>
        <v/>
      </c>
      <c r="T78" s="290" t="str">
        <f>Standard!J70</f>
        <v/>
      </c>
      <c r="U78" s="291" t="str">
        <f t="shared" si="1"/>
        <v/>
      </c>
      <c r="V78" s="292" t="str">
        <f>IF(F78="","",IF(SUMIF('Production Data-Weekly input'!$A:$A,A78,'Production Data-Weekly input'!$G:$G)&lt;&gt;0,SUMIF('Production Data-Weekly input'!$A:$A,A78,'Production Data-Weekly input'!$G:$G),(SUMIF('Production Data-Daily Input'!$B:$B,"Total "&amp;A78,'Production Data-Daily Input'!$H:$H)*1000/7/F78)))</f>
        <v/>
      </c>
      <c r="W78" s="293" t="str">
        <f t="shared" si="3"/>
        <v/>
      </c>
      <c r="X78" s="293" t="str">
        <f>IF(W78&lt;&gt;"",W78/Data!F$37*1000/((A78-16)*7),"")</f>
        <v/>
      </c>
      <c r="Y78" s="400" t="str">
        <f t="shared" si="9"/>
        <v/>
      </c>
      <c r="Z78" s="294" t="str">
        <f>IF(F78="","",IF(OR(Q78=0,Q78=""),"",IF(W78&lt;&gt;0,W78/(Q78*Data!F$37/1000),"")))</f>
        <v/>
      </c>
      <c r="AA78" s="295" t="str">
        <f>IF(AND(U78=0,SUMIF('Production Data-Weekly input'!$A:$A,$A78,'Production Data-Weekly input'!$H:$H)=0,SUMIF('Production Data-Daily Input'!$B:$B,"Total "&amp;A78,'Production Data-Daily Input'!$I:$I)=0),"",IF(F78="","",IF(SUMIF('Production Data-Weekly input'!$A:$A,$A78,'Production Data-Weekly input'!$H:$H)&lt;&gt;0,SUMIF('Production Data-Weekly input'!$A:$A,$A78,'Production Data-Weekly input'!$H:$H)*7/U78,SUMIF('Production Data-Daily Input'!$B:$B,"Total "&amp;A78,'Production Data-Daily Input'!$I:$I)*7/U78)))</f>
        <v/>
      </c>
      <c r="AB78" s="278">
        <f>SUMIF('Production Data-Daily Input'!$B:$B,"Total "&amp;$A78,'Production Data-Daily Input'!$E:$E)</f>
        <v>0</v>
      </c>
      <c r="AC78" s="296" t="str">
        <f>IF(F78="","",IF(G78&lt;&gt;0,IF(AB78&lt;&gt;0,AB78/G78,'Production Data-Weekly input'!D75/100),""))</f>
        <v/>
      </c>
      <c r="AD78" s="275">
        <f>SUMIF('Production Data-Daily Input'!$B:$B,"Total "&amp;$A78,'Production Data-Daily Input'!$F:$F)</f>
        <v>0</v>
      </c>
      <c r="AE78" s="296" t="str">
        <f>IF(F78="","",IF(G78&lt;&gt;0,IF(AD78&lt;&gt;0,AD78/G78,'Production Data-Weekly input'!E75/100),""))</f>
        <v/>
      </c>
      <c r="AF78" s="275">
        <f t="shared" si="5"/>
        <v>0</v>
      </c>
      <c r="AG78" s="297" t="str">
        <f t="shared" si="10"/>
        <v/>
      </c>
      <c r="AH78" s="298" t="str">
        <f>IF(AND(SUMIF('Production Data-Daily Input'!$B:$B,"Total "&amp;A78,'Production Data-Daily Input'!$J:$J)=0,SUMIF('Production Data-Weekly input'!$A:$A,A78,'Production Data-Weekly input'!$I:$I)=0),"",IF(SUMIF('Production Data-Daily Input'!$B:$B,"Total "&amp;A78,'Production Data-Daily Input'!$J:$J)&lt;&gt;0,SUMIF('Production Data-Daily Input'!$B:$B,"Total "&amp;A78,'Production Data-Daily Input'!$J:$J),SUMIF('Production Data-Weekly input'!$A:$A,A78,'Production Data-Weekly input'!$I:$I)))</f>
        <v/>
      </c>
    </row>
    <row r="79" spans="1:34" s="299" customFormat="1" ht="24.95" customHeight="1" x14ac:dyDescent="0.25">
      <c r="A79" s="273">
        <f t="shared" si="2"/>
        <v>81</v>
      </c>
      <c r="B79" s="429" t="str">
        <f>'Production Data-Daily Input'!B518</f>
        <v/>
      </c>
      <c r="C79" s="274" t="str">
        <f>IF(IF(AND(SUMIF('Production Data-Daily Input'!$B:$B,"Total "&amp;$A79,'Production Data-Daily Input'!$C:$C)="",SUMIF('Production Data-Weekly input'!$A:$A,A79,'Production Data-Weekly input'!$B:$B)=""),"",IF(SUMIF('Production Data-Daily Input'!$B:$B,"Total "&amp;$A79,'Production Data-Daily Input'!$C:$C)&lt;&gt;0,SUMIF('Production Data-Daily Input'!$B:$B,"Total "&amp;$A79,'Production Data-Daily Input'!$C:$C),SUMIF('Production Data-Weekly input'!$A:$A,A79,'Production Data-Weekly input'!$B:$B)/100*Data!$F$37))=0,"",IF(AND(SUMIF('Production Data-Daily Input'!$B:$B,"Total "&amp;$A79,'Production Data-Daily Input'!$C:$C)="",SUMIF('Production Data-Weekly input'!$A:$A,A79,'Production Data-Weekly input'!$B:$B)=""),"",IF(SUMIF('Production Data-Daily Input'!$B:$B,"Total "&amp;$A79,'Production Data-Daily Input'!$C:$C)&lt;&gt;0,SUMIF('Production Data-Daily Input'!$B:$B,"Total "&amp;$A79,'Production Data-Daily Input'!$C:$C),SUMIF('Production Data-Weekly input'!$A:$A,A79,'Production Data-Weekly input'!$B:$B)/100*Data!$F$37)))</f>
        <v/>
      </c>
      <c r="D79" s="275" t="str">
        <f>IF(AND(SUM(C79:$C$88)=0,SUMIF('Production Data-Daily Input'!$B:$B,"Total "&amp;$A79,'Production Data-Daily Input'!$D:$D)=0,SUMIF('Production Data-Weekly input'!$A:$A,$A79,'Production Data-Weekly input'!$C:$C)=0),"",IF(C79="",D78,C79+D78))</f>
        <v/>
      </c>
      <c r="E79" s="276" t="str">
        <f>IF(F79="","",F79/Data!F$37)</f>
        <v/>
      </c>
      <c r="F79" s="277" t="str">
        <f>IF(D79="","",Data!$F$37-D79)</f>
        <v/>
      </c>
      <c r="G79" s="278" t="str">
        <f>IF(F79="","",IF(SUMIF('Production Data-Daily Input'!$B:$B,"Total "&amp;$A79,'Production Data-Daily Input'!$D:$D)&lt;&gt;0,SUMIF('Production Data-Daily Input'!$B:$B,"Total "&amp;$A79,'Production Data-Daily Input'!$D:$D),IF(SUMIF('Production Data-Weekly input'!$A:$A,$A79,'Production Data-Weekly input'!$C:$C)=0,0,SUMIF('Production Data-Weekly input'!$A:$A,$A79,'Production Data-Weekly input'!$C:$C)/100*7*$F79)))</f>
        <v/>
      </c>
      <c r="H79" s="279" t="str">
        <f>IF(AND(G79="",'Production Data-Weekly input'!C76=""),"",IF(G79="",'Production Data-Weekly input'!C76,G79/F79/7*100))</f>
        <v/>
      </c>
      <c r="I79" s="300" t="str">
        <f>Standard!D71</f>
        <v/>
      </c>
      <c r="J79" s="275">
        <f t="shared" si="6"/>
        <v>0</v>
      </c>
      <c r="K79" s="281" t="str">
        <f>IF(H79="","",J79/Data!F$37)</f>
        <v/>
      </c>
      <c r="L79" s="301" t="str">
        <f>Standard!F71</f>
        <v/>
      </c>
      <c r="M79" s="283" t="str">
        <f>IF(IF(SUMIF('Production Data-Daily Input'!$B:$B,"Total "&amp;$A79,'Production Data-Daily Input'!$G:$G)&lt;&gt;0,SUMIF('Production Data-Daily Input'!$B:$B,"Total "&amp;$A79,'Production Data-Daily Input'!$G:$G),IF(SUMIF('Production Data-Weekly input'!$A:$A,$A79,'Production Data-Weekly input'!$F:$F)="","",SUMIF('Production Data-Weekly input'!$A:$A,$A79,'Production Data-Weekly input'!$F:$F)))=0,"",IF(SUMIF('Production Data-Daily Input'!$B:$B,"Total "&amp;$A79,'Production Data-Daily Input'!$G:$G)&lt;&gt;0,SUMIF('Production Data-Daily Input'!$B:$B,"Total "&amp;$A79,'Production Data-Daily Input'!$G:$G),IF(SUMIF('Production Data-Weekly input'!$A:$A,$A79,'Production Data-Weekly input'!$F:$F)="","",SUMIF('Production Data-Weekly input'!$A:$A,$A79,'Production Data-Weekly input'!$F:$F))))</f>
        <v/>
      </c>
      <c r="N79" s="302" t="str">
        <f>Standard!G71</f>
        <v/>
      </c>
      <c r="O79" s="285" t="str">
        <f t="shared" ref="O79:O88" si="11">IF(M79="","",IF(G79="","",IF(AND(H79=0,M79=""),"",IF(H79=0,(I79*F79*7/100)*M79/$V$6,IF(M79&lt;&gt;"",(M79*G79)/$V$6,IF(M79="",(N79*G79)/$V$6))))))</f>
        <v/>
      </c>
      <c r="P79" s="303" t="str">
        <f>Standard!H71</f>
        <v/>
      </c>
      <c r="Q79" s="287" t="str">
        <f>IF(Q78="","",IF(AND(H79="",Q78=""),"",IF(O79="","",IF(M79="",IF(Q78="",0,Q78),(M79*H79/100*7*F79/Data!F$37)+IF(Q78="",0,Q78)))))</f>
        <v/>
      </c>
      <c r="R79" s="288" t="str">
        <f>Standard!I71</f>
        <v/>
      </c>
      <c r="S79" s="289" t="str">
        <f>IF(AND(F79="",Q79=""),"",IF(J79&lt;&gt;"",IF(Q79="","",Q79*Data!F$37/J79),""))</f>
        <v/>
      </c>
      <c r="T79" s="290" t="str">
        <f>Standard!J71</f>
        <v/>
      </c>
      <c r="U79" s="291" t="str">
        <f t="shared" si="1"/>
        <v/>
      </c>
      <c r="V79" s="292" t="str">
        <f>IF(F79="","",IF(SUMIF('Production Data-Weekly input'!$A:$A,A79,'Production Data-Weekly input'!$G:$G)&lt;&gt;0,SUMIF('Production Data-Weekly input'!$A:$A,A79,'Production Data-Weekly input'!$G:$G),(SUMIF('Production Data-Daily Input'!$B:$B,"Total "&amp;A79,'Production Data-Daily Input'!$H:$H)*1000/7/F79)))</f>
        <v/>
      </c>
      <c r="W79" s="293" t="str">
        <f t="shared" si="3"/>
        <v/>
      </c>
      <c r="X79" s="293" t="str">
        <f>IF(W79&lt;&gt;"",W79/Data!F$37*1000/((A79-16)*7),"")</f>
        <v/>
      </c>
      <c r="Y79" s="400" t="str">
        <f t="shared" ref="Y79:Y88" si="12">IF(F79="","",IF(OR(J79="",J79=0),"",IF(W79=0,0,W79/J79*1000)))</f>
        <v/>
      </c>
      <c r="Z79" s="294" t="str">
        <f>IF(F79="","",IF(OR(Q79=0,Q79=""),"",IF(W79&lt;&gt;0,W79/(Q79*Data!F$37/1000),"")))</f>
        <v/>
      </c>
      <c r="AA79" s="295" t="str">
        <f>IF(AND(U79=0,SUMIF('Production Data-Weekly input'!$A:$A,$A79,'Production Data-Weekly input'!$H:$H)=0,SUMIF('Production Data-Daily Input'!$B:$B,"Total "&amp;A79,'Production Data-Daily Input'!$I:$I)=0),"",IF(F79="","",IF(SUMIF('Production Data-Weekly input'!$A:$A,$A79,'Production Data-Weekly input'!$H:$H)&lt;&gt;0,SUMIF('Production Data-Weekly input'!$A:$A,$A79,'Production Data-Weekly input'!$H:$H)*7/U79,SUMIF('Production Data-Daily Input'!$B:$B,"Total "&amp;A79,'Production Data-Daily Input'!$I:$I)*7/U79)))</f>
        <v/>
      </c>
      <c r="AB79" s="278">
        <f>SUMIF('Production Data-Daily Input'!$B:$B,"Total "&amp;$A79,'Production Data-Daily Input'!$E:$E)</f>
        <v>0</v>
      </c>
      <c r="AC79" s="296" t="str">
        <f>IF(F79="","",IF(G79&lt;&gt;0,IF(AB79&lt;&gt;0,AB79/G79,'Production Data-Weekly input'!D76/100),""))</f>
        <v/>
      </c>
      <c r="AD79" s="275">
        <f>SUMIF('Production Data-Daily Input'!$B:$B,"Total "&amp;$A79,'Production Data-Daily Input'!$F:$F)</f>
        <v>0</v>
      </c>
      <c r="AE79" s="296" t="str">
        <f>IF(F79="","",IF(G79&lt;&gt;0,IF(AD79&lt;&gt;0,AD79/G79,'Production Data-Weekly input'!E76/100),""))</f>
        <v/>
      </c>
      <c r="AF79" s="275">
        <f t="shared" si="5"/>
        <v>0</v>
      </c>
      <c r="AG79" s="297" t="str">
        <f t="shared" si="10"/>
        <v/>
      </c>
      <c r="AH79" s="298" t="str">
        <f>IF(AND(SUMIF('Production Data-Daily Input'!$B:$B,"Total "&amp;A79,'Production Data-Daily Input'!$J:$J)=0,SUMIF('Production Data-Weekly input'!$A:$A,A79,'Production Data-Weekly input'!$I:$I)=0),"",IF(SUMIF('Production Data-Daily Input'!$B:$B,"Total "&amp;A79,'Production Data-Daily Input'!$J:$J)&lt;&gt;0,SUMIF('Production Data-Daily Input'!$B:$B,"Total "&amp;A79,'Production Data-Daily Input'!$J:$J),SUMIF('Production Data-Weekly input'!$A:$A,A79,'Production Data-Weekly input'!$I:$I)))</f>
        <v/>
      </c>
    </row>
    <row r="80" spans="1:34" s="299" customFormat="1" ht="24.95" customHeight="1" x14ac:dyDescent="0.25">
      <c r="A80" s="273">
        <f t="shared" si="2"/>
        <v>82</v>
      </c>
      <c r="B80" s="429" t="str">
        <f>'Production Data-Daily Input'!B526</f>
        <v/>
      </c>
      <c r="C80" s="274" t="str">
        <f>IF(IF(AND(SUMIF('Production Data-Daily Input'!$B:$B,"Total "&amp;$A80,'Production Data-Daily Input'!$C:$C)="",SUMIF('Production Data-Weekly input'!$A:$A,A80,'Production Data-Weekly input'!$B:$B)=""),"",IF(SUMIF('Production Data-Daily Input'!$B:$B,"Total "&amp;$A80,'Production Data-Daily Input'!$C:$C)&lt;&gt;0,SUMIF('Production Data-Daily Input'!$B:$B,"Total "&amp;$A80,'Production Data-Daily Input'!$C:$C),SUMIF('Production Data-Weekly input'!$A:$A,A80,'Production Data-Weekly input'!$B:$B)/100*Data!$F$37))=0,"",IF(AND(SUMIF('Production Data-Daily Input'!$B:$B,"Total "&amp;$A80,'Production Data-Daily Input'!$C:$C)="",SUMIF('Production Data-Weekly input'!$A:$A,A80,'Production Data-Weekly input'!$B:$B)=""),"",IF(SUMIF('Production Data-Daily Input'!$B:$B,"Total "&amp;$A80,'Production Data-Daily Input'!$C:$C)&lt;&gt;0,SUMIF('Production Data-Daily Input'!$B:$B,"Total "&amp;$A80,'Production Data-Daily Input'!$C:$C),SUMIF('Production Data-Weekly input'!$A:$A,A80,'Production Data-Weekly input'!$B:$B)/100*Data!$F$37)))</f>
        <v/>
      </c>
      <c r="D80" s="275" t="str">
        <f>IF(AND(SUM(C80:$C$88)=0,SUMIF('Production Data-Daily Input'!$B:$B,"Total "&amp;$A80,'Production Data-Daily Input'!$D:$D)=0,SUMIF('Production Data-Weekly input'!$A:$A,$A80,'Production Data-Weekly input'!$C:$C)=0),"",IF(C80="",D79,C80+D79))</f>
        <v/>
      </c>
      <c r="E80" s="276" t="str">
        <f>IF(F80="","",F80/Data!F$37)</f>
        <v/>
      </c>
      <c r="F80" s="277" t="str">
        <f>IF(D80="","",Data!$F$37-D80)</f>
        <v/>
      </c>
      <c r="G80" s="278" t="str">
        <f>IF(F80="","",IF(SUMIF('Production Data-Daily Input'!$B:$B,"Total "&amp;$A80,'Production Data-Daily Input'!$D:$D)&lt;&gt;0,SUMIF('Production Data-Daily Input'!$B:$B,"Total "&amp;$A80,'Production Data-Daily Input'!$D:$D),IF(SUMIF('Production Data-Weekly input'!$A:$A,$A80,'Production Data-Weekly input'!$C:$C)=0,0,SUMIF('Production Data-Weekly input'!$A:$A,$A80,'Production Data-Weekly input'!$C:$C)/100*7*$F80)))</f>
        <v/>
      </c>
      <c r="H80" s="279" t="str">
        <f>IF(AND(G80="",'Production Data-Weekly input'!C77=""),"",IF(G80="",'Production Data-Weekly input'!C77,G80/F80/7*100))</f>
        <v/>
      </c>
      <c r="I80" s="300" t="str">
        <f>Standard!D72</f>
        <v/>
      </c>
      <c r="J80" s="275">
        <f t="shared" si="6"/>
        <v>0</v>
      </c>
      <c r="K80" s="281" t="str">
        <f>IF(H80="","",J80/Data!F$37)</f>
        <v/>
      </c>
      <c r="L80" s="301" t="str">
        <f>Standard!F72</f>
        <v/>
      </c>
      <c r="M80" s="283" t="str">
        <f>IF(IF(SUMIF('Production Data-Daily Input'!$B:$B,"Total "&amp;$A80,'Production Data-Daily Input'!$G:$G)&lt;&gt;0,SUMIF('Production Data-Daily Input'!$B:$B,"Total "&amp;$A80,'Production Data-Daily Input'!$G:$G),IF(SUMIF('Production Data-Weekly input'!$A:$A,$A80,'Production Data-Weekly input'!$F:$F)="","",SUMIF('Production Data-Weekly input'!$A:$A,$A80,'Production Data-Weekly input'!$F:$F)))=0,"",IF(SUMIF('Production Data-Daily Input'!$B:$B,"Total "&amp;$A80,'Production Data-Daily Input'!$G:$G)&lt;&gt;0,SUMIF('Production Data-Daily Input'!$B:$B,"Total "&amp;$A80,'Production Data-Daily Input'!$G:$G),IF(SUMIF('Production Data-Weekly input'!$A:$A,$A80,'Production Data-Weekly input'!$F:$F)="","",SUMIF('Production Data-Weekly input'!$A:$A,$A80,'Production Data-Weekly input'!$F:$F))))</f>
        <v/>
      </c>
      <c r="N80" s="302" t="str">
        <f>Standard!G72</f>
        <v/>
      </c>
      <c r="O80" s="285" t="str">
        <f t="shared" si="11"/>
        <v/>
      </c>
      <c r="P80" s="303" t="str">
        <f>Standard!H72</f>
        <v/>
      </c>
      <c r="Q80" s="287" t="str">
        <f>IF(Q79="","",IF(AND(H80="",Q79=""),"",IF(O80="","",IF(M80="",IF(Q79="",0,Q79),(M80*H80/100*7*F80/Data!F$37)+IF(Q79="",0,Q79)))))</f>
        <v/>
      </c>
      <c r="R80" s="288" t="str">
        <f>Standard!I72</f>
        <v/>
      </c>
      <c r="S80" s="289" t="str">
        <f>IF(AND(F80="",Q80=""),"",IF(J80&lt;&gt;"",IF(Q80="","",Q80*Data!F$37/J80),""))</f>
        <v/>
      </c>
      <c r="T80" s="290" t="str">
        <f>Standard!J72</f>
        <v/>
      </c>
      <c r="U80" s="291" t="str">
        <f t="shared" ref="U80:U88" si="13">IF(F80="","",V80*7*F80/1000)</f>
        <v/>
      </c>
      <c r="V80" s="292" t="str">
        <f>IF(F80="","",IF(SUMIF('Production Data-Weekly input'!$A:$A,A80,'Production Data-Weekly input'!$G:$G)&lt;&gt;0,SUMIF('Production Data-Weekly input'!$A:$A,A80,'Production Data-Weekly input'!$G:$G),(SUMIF('Production Data-Daily Input'!$B:$B,"Total "&amp;A80,'Production Data-Daily Input'!$H:$H)*1000/7/F80)))</f>
        <v/>
      </c>
      <c r="W80" s="293" t="str">
        <f t="shared" si="3"/>
        <v/>
      </c>
      <c r="X80" s="293" t="str">
        <f>IF(W80&lt;&gt;"",W80/Data!F$37*1000/((A80-16)*7),"")</f>
        <v/>
      </c>
      <c r="Y80" s="400" t="str">
        <f t="shared" si="12"/>
        <v/>
      </c>
      <c r="Z80" s="294" t="str">
        <f>IF(F80="","",IF(OR(Q80=0,Q80=""),"",IF(W80&lt;&gt;0,W80/(Q80*Data!F$37/1000),"")))</f>
        <v/>
      </c>
      <c r="AA80" s="295" t="str">
        <f>IF(AND(U80=0,SUMIF('Production Data-Weekly input'!$A:$A,$A80,'Production Data-Weekly input'!$H:$H)=0,SUMIF('Production Data-Daily Input'!$B:$B,"Total "&amp;A80,'Production Data-Daily Input'!$I:$I)=0),"",IF(F80="","",IF(SUMIF('Production Data-Weekly input'!$A:$A,$A80,'Production Data-Weekly input'!$H:$H)&lt;&gt;0,SUMIF('Production Data-Weekly input'!$A:$A,$A80,'Production Data-Weekly input'!$H:$H)*7/U80,SUMIF('Production Data-Daily Input'!$B:$B,"Total "&amp;A80,'Production Data-Daily Input'!$I:$I)*7/U80)))</f>
        <v/>
      </c>
      <c r="AB80" s="278">
        <f>SUMIF('Production Data-Daily Input'!$B:$B,"Total "&amp;$A80,'Production Data-Daily Input'!$E:$E)</f>
        <v>0</v>
      </c>
      <c r="AC80" s="296" t="str">
        <f>IF(F80="","",IF(G80&lt;&gt;0,IF(AB80&lt;&gt;0,AB80/G80,'Production Data-Weekly input'!D77/100),""))</f>
        <v/>
      </c>
      <c r="AD80" s="275">
        <f>SUMIF('Production Data-Daily Input'!$B:$B,"Total "&amp;$A80,'Production Data-Daily Input'!$F:$F)</f>
        <v>0</v>
      </c>
      <c r="AE80" s="296" t="str">
        <f>IF(F80="","",IF(G80&lt;&gt;0,IF(AD80&lt;&gt;0,AD80/G80,'Production Data-Weekly input'!E77/100),""))</f>
        <v/>
      </c>
      <c r="AF80" s="275">
        <f t="shared" si="5"/>
        <v>0</v>
      </c>
      <c r="AG80" s="297" t="str">
        <f t="shared" si="10"/>
        <v/>
      </c>
      <c r="AH80" s="298" t="str">
        <f>IF(AND(SUMIF('Production Data-Daily Input'!$B:$B,"Total "&amp;A80,'Production Data-Daily Input'!$J:$J)=0,SUMIF('Production Data-Weekly input'!$A:$A,A80,'Production Data-Weekly input'!$I:$I)=0),"",IF(SUMIF('Production Data-Daily Input'!$B:$B,"Total "&amp;A80,'Production Data-Daily Input'!$J:$J)&lt;&gt;0,SUMIF('Production Data-Daily Input'!$B:$B,"Total "&amp;A80,'Production Data-Daily Input'!$J:$J),SUMIF('Production Data-Weekly input'!$A:$A,A80,'Production Data-Weekly input'!$I:$I)))</f>
        <v/>
      </c>
    </row>
    <row r="81" spans="1:34" s="299" customFormat="1" ht="24.95" customHeight="1" x14ac:dyDescent="0.25">
      <c r="A81" s="273">
        <f t="shared" ref="A81:A88" si="14">A80+1</f>
        <v>83</v>
      </c>
      <c r="B81" s="429" t="str">
        <f>'Production Data-Daily Input'!B534</f>
        <v/>
      </c>
      <c r="C81" s="274" t="str">
        <f>IF(IF(AND(SUMIF('Production Data-Daily Input'!$B:$B,"Total "&amp;$A81,'Production Data-Daily Input'!$C:$C)="",SUMIF('Production Data-Weekly input'!$A:$A,A81,'Production Data-Weekly input'!$B:$B)=""),"",IF(SUMIF('Production Data-Daily Input'!$B:$B,"Total "&amp;$A81,'Production Data-Daily Input'!$C:$C)&lt;&gt;0,SUMIF('Production Data-Daily Input'!$B:$B,"Total "&amp;$A81,'Production Data-Daily Input'!$C:$C),SUMIF('Production Data-Weekly input'!$A:$A,A81,'Production Data-Weekly input'!$B:$B)/100*Data!$F$37))=0,"",IF(AND(SUMIF('Production Data-Daily Input'!$B:$B,"Total "&amp;$A81,'Production Data-Daily Input'!$C:$C)="",SUMIF('Production Data-Weekly input'!$A:$A,A81,'Production Data-Weekly input'!$B:$B)=""),"",IF(SUMIF('Production Data-Daily Input'!$B:$B,"Total "&amp;$A81,'Production Data-Daily Input'!$C:$C)&lt;&gt;0,SUMIF('Production Data-Daily Input'!$B:$B,"Total "&amp;$A81,'Production Data-Daily Input'!$C:$C),SUMIF('Production Data-Weekly input'!$A:$A,A81,'Production Data-Weekly input'!$B:$B)/100*Data!$F$37)))</f>
        <v/>
      </c>
      <c r="D81" s="275" t="str">
        <f>IF(AND(SUM(C81:$C$88)=0,SUMIF('Production Data-Daily Input'!$B:$B,"Total "&amp;$A81,'Production Data-Daily Input'!$D:$D)=0,SUMIF('Production Data-Weekly input'!$A:$A,$A81,'Production Data-Weekly input'!$C:$C)=0),"",IF(C81="",D80,C81+D80))</f>
        <v/>
      </c>
      <c r="E81" s="276" t="str">
        <f>IF(F81="","",F81/Data!F$37)</f>
        <v/>
      </c>
      <c r="F81" s="277" t="str">
        <f>IF(D81="","",Data!$F$37-D81)</f>
        <v/>
      </c>
      <c r="G81" s="278" t="str">
        <f>IF(F81="","",IF(SUMIF('Production Data-Daily Input'!$B:$B,"Total "&amp;$A81,'Production Data-Daily Input'!$D:$D)&lt;&gt;0,SUMIF('Production Data-Daily Input'!$B:$B,"Total "&amp;$A81,'Production Data-Daily Input'!$D:$D),IF(SUMIF('Production Data-Weekly input'!$A:$A,$A81,'Production Data-Weekly input'!$C:$C)=0,0,SUMIF('Production Data-Weekly input'!$A:$A,$A81,'Production Data-Weekly input'!$C:$C)/100*7*$F81)))</f>
        <v/>
      </c>
      <c r="H81" s="279" t="str">
        <f>IF(AND(G81="",'Production Data-Weekly input'!C78=""),"",IF(G81="",'Production Data-Weekly input'!C78,G81/F81/7*100))</f>
        <v/>
      </c>
      <c r="I81" s="300" t="str">
        <f>Standard!D73</f>
        <v/>
      </c>
      <c r="J81" s="275">
        <f t="shared" ref="J81:J88" si="15">IF(G81&lt;&gt;"",G81+J80,0)</f>
        <v>0</v>
      </c>
      <c r="K81" s="281" t="str">
        <f>IF(H81="","",J81/Data!F$37)</f>
        <v/>
      </c>
      <c r="L81" s="301" t="str">
        <f>Standard!F73</f>
        <v/>
      </c>
      <c r="M81" s="283" t="str">
        <f>IF(IF(SUMIF('Production Data-Daily Input'!$B:$B,"Total "&amp;$A81,'Production Data-Daily Input'!$G:$G)&lt;&gt;0,SUMIF('Production Data-Daily Input'!$B:$B,"Total "&amp;$A81,'Production Data-Daily Input'!$G:$G),IF(SUMIF('Production Data-Weekly input'!$A:$A,$A81,'Production Data-Weekly input'!$F:$F)="","",SUMIF('Production Data-Weekly input'!$A:$A,$A81,'Production Data-Weekly input'!$F:$F)))=0,"",IF(SUMIF('Production Data-Daily Input'!$B:$B,"Total "&amp;$A81,'Production Data-Daily Input'!$G:$G)&lt;&gt;0,SUMIF('Production Data-Daily Input'!$B:$B,"Total "&amp;$A81,'Production Data-Daily Input'!$G:$G),IF(SUMIF('Production Data-Weekly input'!$A:$A,$A81,'Production Data-Weekly input'!$F:$F)="","",SUMIF('Production Data-Weekly input'!$A:$A,$A81,'Production Data-Weekly input'!$F:$F))))</f>
        <v/>
      </c>
      <c r="N81" s="302" t="str">
        <f>Standard!G73</f>
        <v/>
      </c>
      <c r="O81" s="285" t="str">
        <f t="shared" si="11"/>
        <v/>
      </c>
      <c r="P81" s="303" t="str">
        <f>Standard!H73</f>
        <v/>
      </c>
      <c r="Q81" s="287" t="str">
        <f>IF(Q80="","",IF(AND(H81="",Q80=""),"",IF(O81="","",IF(M81="",IF(Q80="",0,Q80),(M81*H81/100*7*F81/Data!F$37)+IF(Q80="",0,Q80)))))</f>
        <v/>
      </c>
      <c r="R81" s="288" t="str">
        <f>Standard!I73</f>
        <v/>
      </c>
      <c r="S81" s="289" t="str">
        <f>IF(AND(F81="",Q81=""),"",IF(J81&lt;&gt;"",IF(Q81="","",Q81*Data!F$37/J81),""))</f>
        <v/>
      </c>
      <c r="T81" s="290" t="str">
        <f>Standard!J73</f>
        <v/>
      </c>
      <c r="U81" s="291" t="str">
        <f t="shared" si="13"/>
        <v/>
      </c>
      <c r="V81" s="292" t="str">
        <f>IF(F81="","",IF(SUMIF('Production Data-Weekly input'!$A:$A,A81,'Production Data-Weekly input'!$G:$G)&lt;&gt;0,SUMIF('Production Data-Weekly input'!$A:$A,A81,'Production Data-Weekly input'!$G:$G),(SUMIF('Production Data-Daily Input'!$B:$B,"Total "&amp;A81,'Production Data-Daily Input'!$H:$H)*1000/7/F81)))</f>
        <v/>
      </c>
      <c r="W81" s="293" t="str">
        <f t="shared" ref="W81:W88" si="16">IF(U81&lt;&gt;"",U81+W80,"")</f>
        <v/>
      </c>
      <c r="X81" s="293" t="str">
        <f>IF(W81&lt;&gt;"",W81/Data!F$37*1000/((A81-16)*7),"")</f>
        <v/>
      </c>
      <c r="Y81" s="400" t="str">
        <f t="shared" si="12"/>
        <v/>
      </c>
      <c r="Z81" s="294" t="str">
        <f>IF(F81="","",IF(OR(Q81=0,Q81=""),"",IF(W81&lt;&gt;0,W81/(Q81*Data!F$37/1000),"")))</f>
        <v/>
      </c>
      <c r="AA81" s="295" t="str">
        <f>IF(AND(U81=0,SUMIF('Production Data-Weekly input'!$A:$A,$A81,'Production Data-Weekly input'!$H:$H)=0,SUMIF('Production Data-Daily Input'!$B:$B,"Total "&amp;A81,'Production Data-Daily Input'!$I:$I)=0),"",IF(F81="","",IF(SUMIF('Production Data-Weekly input'!$A:$A,$A81,'Production Data-Weekly input'!$H:$H)&lt;&gt;0,SUMIF('Production Data-Weekly input'!$A:$A,$A81,'Production Data-Weekly input'!$H:$H)*7/U81,SUMIF('Production Data-Daily Input'!$B:$B,"Total "&amp;A81,'Production Data-Daily Input'!$I:$I)*7/U81)))</f>
        <v/>
      </c>
      <c r="AB81" s="278">
        <f>SUMIF('Production Data-Daily Input'!$B:$B,"Total "&amp;$A81,'Production Data-Daily Input'!$E:$E)</f>
        <v>0</v>
      </c>
      <c r="AC81" s="296" t="str">
        <f>IF(F81="","",IF(G81&lt;&gt;0,IF(AB81&lt;&gt;0,AB81/G81,'Production Data-Weekly input'!D78/100),""))</f>
        <v/>
      </c>
      <c r="AD81" s="275">
        <f>SUMIF('Production Data-Daily Input'!$B:$B,"Total "&amp;$A81,'Production Data-Daily Input'!$F:$F)</f>
        <v>0</v>
      </c>
      <c r="AE81" s="296" t="str">
        <f>IF(F81="","",IF(G81&lt;&gt;0,IF(AD81&lt;&gt;0,AD81/G81,'Production Data-Weekly input'!E78/100),""))</f>
        <v/>
      </c>
      <c r="AF81" s="275">
        <f t="shared" ref="AF81:AF88" si="17">IF(AB81&gt;0,AB81+AD81,0)</f>
        <v>0</v>
      </c>
      <c r="AG81" s="297" t="str">
        <f t="shared" si="10"/>
        <v/>
      </c>
      <c r="AH81" s="298" t="str">
        <f>IF(AND(SUMIF('Production Data-Daily Input'!$B:$B,"Total "&amp;A81,'Production Data-Daily Input'!$J:$J)=0,SUMIF('Production Data-Weekly input'!$A:$A,A81,'Production Data-Weekly input'!$I:$I)=0),"",IF(SUMIF('Production Data-Daily Input'!$B:$B,"Total "&amp;A81,'Production Data-Daily Input'!$J:$J)&lt;&gt;0,SUMIF('Production Data-Daily Input'!$B:$B,"Total "&amp;A81,'Production Data-Daily Input'!$J:$J),SUMIF('Production Data-Weekly input'!$A:$A,A81,'Production Data-Weekly input'!$I:$I)))</f>
        <v/>
      </c>
    </row>
    <row r="82" spans="1:34" s="299" customFormat="1" ht="24.95" customHeight="1" x14ac:dyDescent="0.25">
      <c r="A82" s="273">
        <f t="shared" si="14"/>
        <v>84</v>
      </c>
      <c r="B82" s="429" t="str">
        <f>'Production Data-Daily Input'!B542</f>
        <v/>
      </c>
      <c r="C82" s="274" t="str">
        <f>IF(IF(AND(SUMIF('Production Data-Daily Input'!$B:$B,"Total "&amp;$A82,'Production Data-Daily Input'!$C:$C)="",SUMIF('Production Data-Weekly input'!$A:$A,A82,'Production Data-Weekly input'!$B:$B)=""),"",IF(SUMIF('Production Data-Daily Input'!$B:$B,"Total "&amp;$A82,'Production Data-Daily Input'!$C:$C)&lt;&gt;0,SUMIF('Production Data-Daily Input'!$B:$B,"Total "&amp;$A82,'Production Data-Daily Input'!$C:$C),SUMIF('Production Data-Weekly input'!$A:$A,A82,'Production Data-Weekly input'!$B:$B)/100*Data!$F$37))=0,"",IF(AND(SUMIF('Production Data-Daily Input'!$B:$B,"Total "&amp;$A82,'Production Data-Daily Input'!$C:$C)="",SUMIF('Production Data-Weekly input'!$A:$A,A82,'Production Data-Weekly input'!$B:$B)=""),"",IF(SUMIF('Production Data-Daily Input'!$B:$B,"Total "&amp;$A82,'Production Data-Daily Input'!$C:$C)&lt;&gt;0,SUMIF('Production Data-Daily Input'!$B:$B,"Total "&amp;$A82,'Production Data-Daily Input'!$C:$C),SUMIF('Production Data-Weekly input'!$A:$A,A82,'Production Data-Weekly input'!$B:$B)/100*Data!$F$37)))</f>
        <v/>
      </c>
      <c r="D82" s="275" t="str">
        <f>IF(AND(SUM(C82:$C$88)=0,SUMIF('Production Data-Daily Input'!$B:$B,"Total "&amp;$A82,'Production Data-Daily Input'!$D:$D)=0,SUMIF('Production Data-Weekly input'!$A:$A,$A82,'Production Data-Weekly input'!$C:$C)=0),"",IF(C82="",D81,C82+D81))</f>
        <v/>
      </c>
      <c r="E82" s="276" t="str">
        <f>IF(F82="","",F82/Data!F$37)</f>
        <v/>
      </c>
      <c r="F82" s="277" t="str">
        <f>IF(D82="","",Data!$F$37-D82)</f>
        <v/>
      </c>
      <c r="G82" s="278" t="str">
        <f>IF(F82="","",IF(SUMIF('Production Data-Daily Input'!$B:$B,"Total "&amp;$A82,'Production Data-Daily Input'!$D:$D)&lt;&gt;0,SUMIF('Production Data-Daily Input'!$B:$B,"Total "&amp;$A82,'Production Data-Daily Input'!$D:$D),IF(SUMIF('Production Data-Weekly input'!$A:$A,$A82,'Production Data-Weekly input'!$C:$C)=0,0,SUMIF('Production Data-Weekly input'!$A:$A,$A82,'Production Data-Weekly input'!$C:$C)/100*7*$F82)))</f>
        <v/>
      </c>
      <c r="H82" s="279" t="str">
        <f>IF(AND(G82="",'Production Data-Weekly input'!C79=""),"",IF(G82="",'Production Data-Weekly input'!C79,G82/F82/7*100))</f>
        <v/>
      </c>
      <c r="I82" s="300" t="str">
        <f>Standard!D74</f>
        <v/>
      </c>
      <c r="J82" s="275">
        <f t="shared" si="15"/>
        <v>0</v>
      </c>
      <c r="K82" s="281" t="str">
        <f>IF(H82="","",J82/Data!F$37)</f>
        <v/>
      </c>
      <c r="L82" s="301" t="str">
        <f>Standard!F74</f>
        <v/>
      </c>
      <c r="M82" s="283" t="str">
        <f>IF(IF(SUMIF('Production Data-Daily Input'!$B:$B,"Total "&amp;$A82,'Production Data-Daily Input'!$G:$G)&lt;&gt;0,SUMIF('Production Data-Daily Input'!$B:$B,"Total "&amp;$A82,'Production Data-Daily Input'!$G:$G),IF(SUMIF('Production Data-Weekly input'!$A:$A,$A82,'Production Data-Weekly input'!$F:$F)="","",SUMIF('Production Data-Weekly input'!$A:$A,$A82,'Production Data-Weekly input'!$F:$F)))=0,"",IF(SUMIF('Production Data-Daily Input'!$B:$B,"Total "&amp;$A82,'Production Data-Daily Input'!$G:$G)&lt;&gt;0,SUMIF('Production Data-Daily Input'!$B:$B,"Total "&amp;$A82,'Production Data-Daily Input'!$G:$G),IF(SUMIF('Production Data-Weekly input'!$A:$A,$A82,'Production Data-Weekly input'!$F:$F)="","",SUMIF('Production Data-Weekly input'!$A:$A,$A82,'Production Data-Weekly input'!$F:$F))))</f>
        <v/>
      </c>
      <c r="N82" s="302" t="str">
        <f>Standard!G74</f>
        <v/>
      </c>
      <c r="O82" s="285" t="str">
        <f t="shared" si="11"/>
        <v/>
      </c>
      <c r="P82" s="303" t="str">
        <f>Standard!H74</f>
        <v/>
      </c>
      <c r="Q82" s="287" t="str">
        <f>IF(Q81="","",IF(AND(H82="",Q81=""),"",IF(O82="","",IF(M82="",IF(Q81="",0,Q81),(M82*H82/100*7*F82/Data!F$37)+IF(Q81="",0,Q81)))))</f>
        <v/>
      </c>
      <c r="R82" s="288" t="str">
        <f>Standard!I74</f>
        <v/>
      </c>
      <c r="S82" s="289" t="str">
        <f>IF(AND(F82="",Q82=""),"",IF(J82&lt;&gt;"",IF(Q82="","",Q82*Data!F$37/J82),""))</f>
        <v/>
      </c>
      <c r="T82" s="290" t="str">
        <f>Standard!J74</f>
        <v/>
      </c>
      <c r="U82" s="291" t="str">
        <f t="shared" si="13"/>
        <v/>
      </c>
      <c r="V82" s="292" t="str">
        <f>IF(F82="","",IF(SUMIF('Production Data-Weekly input'!$A:$A,A82,'Production Data-Weekly input'!$G:$G)&lt;&gt;0,SUMIF('Production Data-Weekly input'!$A:$A,A82,'Production Data-Weekly input'!$G:$G),(SUMIF('Production Data-Daily Input'!$B:$B,"Total "&amp;A82,'Production Data-Daily Input'!$H:$H)*1000/7/F82)))</f>
        <v/>
      </c>
      <c r="W82" s="293" t="str">
        <f t="shared" si="16"/>
        <v/>
      </c>
      <c r="X82" s="293" t="str">
        <f>IF(W82&lt;&gt;"",W82/Data!F$37*1000/((A82-16)*7),"")</f>
        <v/>
      </c>
      <c r="Y82" s="400" t="str">
        <f t="shared" si="12"/>
        <v/>
      </c>
      <c r="Z82" s="294" t="str">
        <f>IF(F82="","",IF(OR(Q82=0,Q82=""),"",IF(W82&lt;&gt;0,W82/(Q82*Data!F$37/1000),"")))</f>
        <v/>
      </c>
      <c r="AA82" s="295" t="str">
        <f>IF(AND(U82=0,SUMIF('Production Data-Weekly input'!$A:$A,$A82,'Production Data-Weekly input'!$H:$H)=0,SUMIF('Production Data-Daily Input'!$B:$B,"Total "&amp;A82,'Production Data-Daily Input'!$I:$I)=0),"",IF(F82="","",IF(SUMIF('Production Data-Weekly input'!$A:$A,$A82,'Production Data-Weekly input'!$H:$H)&lt;&gt;0,SUMIF('Production Data-Weekly input'!$A:$A,$A82,'Production Data-Weekly input'!$H:$H)*7/U82,SUMIF('Production Data-Daily Input'!$B:$B,"Total "&amp;A82,'Production Data-Daily Input'!$I:$I)*7/U82)))</f>
        <v/>
      </c>
      <c r="AB82" s="278">
        <f>SUMIF('Production Data-Daily Input'!$B:$B,"Total "&amp;$A82,'Production Data-Daily Input'!$E:$E)</f>
        <v>0</v>
      </c>
      <c r="AC82" s="296" t="str">
        <f>IF(F82="","",IF(G82&lt;&gt;0,IF(AB82&lt;&gt;0,AB82/G82,'Production Data-Weekly input'!D79/100),""))</f>
        <v/>
      </c>
      <c r="AD82" s="275">
        <f>SUMIF('Production Data-Daily Input'!$B:$B,"Total "&amp;$A82,'Production Data-Daily Input'!$F:$F)</f>
        <v>0</v>
      </c>
      <c r="AE82" s="296" t="str">
        <f>IF(F82="","",IF(G82&lt;&gt;0,IF(AD82&lt;&gt;0,AD82/G82,'Production Data-Weekly input'!E79/100),""))</f>
        <v/>
      </c>
      <c r="AF82" s="275">
        <f t="shared" si="17"/>
        <v>0</v>
      </c>
      <c r="AG82" s="297" t="str">
        <f t="shared" si="10"/>
        <v/>
      </c>
      <c r="AH82" s="298" t="str">
        <f>IF(AND(SUMIF('Production Data-Daily Input'!$B:$B,"Total "&amp;A82,'Production Data-Daily Input'!$J:$J)=0,SUMIF('Production Data-Weekly input'!$A:$A,A82,'Production Data-Weekly input'!$I:$I)=0),"",IF(SUMIF('Production Data-Daily Input'!$B:$B,"Total "&amp;A82,'Production Data-Daily Input'!$J:$J)&lt;&gt;0,SUMIF('Production Data-Daily Input'!$B:$B,"Total "&amp;A82,'Production Data-Daily Input'!$J:$J),SUMIF('Production Data-Weekly input'!$A:$A,A82,'Production Data-Weekly input'!$I:$I)))</f>
        <v/>
      </c>
    </row>
    <row r="83" spans="1:34" s="299" customFormat="1" ht="24.95" customHeight="1" x14ac:dyDescent="0.25">
      <c r="A83" s="273">
        <f t="shared" si="14"/>
        <v>85</v>
      </c>
      <c r="B83" s="429" t="str">
        <f>'Production Data-Daily Input'!B550</f>
        <v/>
      </c>
      <c r="C83" s="274" t="str">
        <f>IF(IF(AND(SUMIF('Production Data-Daily Input'!$B:$B,"Total "&amp;$A83,'Production Data-Daily Input'!$C:$C)="",SUMIF('Production Data-Weekly input'!$A:$A,A83,'Production Data-Weekly input'!$B:$B)=""),"",IF(SUMIF('Production Data-Daily Input'!$B:$B,"Total "&amp;$A83,'Production Data-Daily Input'!$C:$C)&lt;&gt;0,SUMIF('Production Data-Daily Input'!$B:$B,"Total "&amp;$A83,'Production Data-Daily Input'!$C:$C),SUMIF('Production Data-Weekly input'!$A:$A,A83,'Production Data-Weekly input'!$B:$B)/100*Data!$F$37))=0,"",IF(AND(SUMIF('Production Data-Daily Input'!$B:$B,"Total "&amp;$A83,'Production Data-Daily Input'!$C:$C)="",SUMIF('Production Data-Weekly input'!$A:$A,A83,'Production Data-Weekly input'!$B:$B)=""),"",IF(SUMIF('Production Data-Daily Input'!$B:$B,"Total "&amp;$A83,'Production Data-Daily Input'!$C:$C)&lt;&gt;0,SUMIF('Production Data-Daily Input'!$B:$B,"Total "&amp;$A83,'Production Data-Daily Input'!$C:$C),SUMIF('Production Data-Weekly input'!$A:$A,A83,'Production Data-Weekly input'!$B:$B)/100*Data!$F$37)))</f>
        <v/>
      </c>
      <c r="D83" s="275" t="str">
        <f>IF(AND(SUM(C83:$C$88)=0,SUMIF('Production Data-Daily Input'!$B:$B,"Total "&amp;$A83,'Production Data-Daily Input'!$D:$D)=0,SUMIF('Production Data-Weekly input'!$A:$A,$A83,'Production Data-Weekly input'!$C:$C)=0),"",IF(C83="",D82,C83+D82))</f>
        <v/>
      </c>
      <c r="E83" s="276" t="str">
        <f>IF(F83="","",F83/Data!F$37)</f>
        <v/>
      </c>
      <c r="F83" s="277" t="str">
        <f>IF(D83="","",Data!$F$37-D83)</f>
        <v/>
      </c>
      <c r="G83" s="278" t="str">
        <f>IF(F83="","",IF(SUMIF('Production Data-Daily Input'!$B:$B,"Total "&amp;$A83,'Production Data-Daily Input'!$D:$D)&lt;&gt;0,SUMIF('Production Data-Daily Input'!$B:$B,"Total "&amp;$A83,'Production Data-Daily Input'!$D:$D),IF(SUMIF('Production Data-Weekly input'!$A:$A,$A83,'Production Data-Weekly input'!$C:$C)=0,0,SUMIF('Production Data-Weekly input'!$A:$A,$A83,'Production Data-Weekly input'!$C:$C)/100*7*$F83)))</f>
        <v/>
      </c>
      <c r="H83" s="279" t="str">
        <f>IF(AND(G83="",'Production Data-Weekly input'!C80=""),"",IF(G83="",'Production Data-Weekly input'!C80,G83/F83/7*100))</f>
        <v/>
      </c>
      <c r="I83" s="300" t="str">
        <f>Standard!D75</f>
        <v/>
      </c>
      <c r="J83" s="275">
        <f t="shared" si="15"/>
        <v>0</v>
      </c>
      <c r="K83" s="281" t="str">
        <f>IF(H83="","",J83/Data!F$37)</f>
        <v/>
      </c>
      <c r="L83" s="301" t="str">
        <f>Standard!F75</f>
        <v/>
      </c>
      <c r="M83" s="283" t="str">
        <f>IF(IF(SUMIF('Production Data-Daily Input'!$B:$B,"Total "&amp;$A83,'Production Data-Daily Input'!$G:$G)&lt;&gt;0,SUMIF('Production Data-Daily Input'!$B:$B,"Total "&amp;$A83,'Production Data-Daily Input'!$G:$G),IF(SUMIF('Production Data-Weekly input'!$A:$A,$A83,'Production Data-Weekly input'!$F:$F)="","",SUMIF('Production Data-Weekly input'!$A:$A,$A83,'Production Data-Weekly input'!$F:$F)))=0,"",IF(SUMIF('Production Data-Daily Input'!$B:$B,"Total "&amp;$A83,'Production Data-Daily Input'!$G:$G)&lt;&gt;0,SUMIF('Production Data-Daily Input'!$B:$B,"Total "&amp;$A83,'Production Data-Daily Input'!$G:$G),IF(SUMIF('Production Data-Weekly input'!$A:$A,$A83,'Production Data-Weekly input'!$F:$F)="","",SUMIF('Production Data-Weekly input'!$A:$A,$A83,'Production Data-Weekly input'!$F:$F))))</f>
        <v/>
      </c>
      <c r="N83" s="302" t="str">
        <f>Standard!G75</f>
        <v/>
      </c>
      <c r="O83" s="285" t="str">
        <f t="shared" si="11"/>
        <v/>
      </c>
      <c r="P83" s="303" t="str">
        <f>Standard!H75</f>
        <v/>
      </c>
      <c r="Q83" s="287" t="str">
        <f>IF(Q82="","",IF(AND(H83="",Q82=""),"",IF(O83="","",IF(M83="",IF(Q82="",0,Q82),(M83*H83/100*7*F83/Data!F$37)+IF(Q82="",0,Q82)))))</f>
        <v/>
      </c>
      <c r="R83" s="288" t="str">
        <f>Standard!I75</f>
        <v/>
      </c>
      <c r="S83" s="289" t="str">
        <f>IF(AND(F83="",Q83=""),"",IF(J83&lt;&gt;"",IF(Q83="","",Q83*Data!F$37/J83),""))</f>
        <v/>
      </c>
      <c r="T83" s="290" t="str">
        <f>Standard!J75</f>
        <v/>
      </c>
      <c r="U83" s="291" t="str">
        <f t="shared" si="13"/>
        <v/>
      </c>
      <c r="V83" s="292" t="str">
        <f>IF(F83="","",IF(SUMIF('Production Data-Weekly input'!$A:$A,A83,'Production Data-Weekly input'!$G:$G)&lt;&gt;0,SUMIF('Production Data-Weekly input'!$A:$A,A83,'Production Data-Weekly input'!$G:$G),(SUMIF('Production Data-Daily Input'!$B:$B,"Total "&amp;A83,'Production Data-Daily Input'!$H:$H)*1000/7/F83)))</f>
        <v/>
      </c>
      <c r="W83" s="293" t="str">
        <f t="shared" si="16"/>
        <v/>
      </c>
      <c r="X83" s="293" t="str">
        <f>IF(W83&lt;&gt;"",W83/Data!F$37*1000/((A83-16)*7),"")</f>
        <v/>
      </c>
      <c r="Y83" s="400" t="str">
        <f t="shared" si="12"/>
        <v/>
      </c>
      <c r="Z83" s="294" t="str">
        <f>IF(F83="","",IF(OR(Q83=0,Q83=""),"",IF(W83&lt;&gt;0,W83/(Q83*Data!F$37/1000),"")))</f>
        <v/>
      </c>
      <c r="AA83" s="295" t="str">
        <f>IF(AND(U83=0,SUMIF('Production Data-Weekly input'!$A:$A,$A83,'Production Data-Weekly input'!$H:$H)=0,SUMIF('Production Data-Daily Input'!$B:$B,"Total "&amp;A83,'Production Data-Daily Input'!$I:$I)=0),"",IF(F83="","",IF(SUMIF('Production Data-Weekly input'!$A:$A,$A83,'Production Data-Weekly input'!$H:$H)&lt;&gt;0,SUMIF('Production Data-Weekly input'!$A:$A,$A83,'Production Data-Weekly input'!$H:$H)*7/U83,SUMIF('Production Data-Daily Input'!$B:$B,"Total "&amp;A83,'Production Data-Daily Input'!$I:$I)*7/U83)))</f>
        <v/>
      </c>
      <c r="AB83" s="278">
        <f>SUMIF('Production Data-Daily Input'!$B:$B,"Total "&amp;$A83,'Production Data-Daily Input'!$E:$E)</f>
        <v>0</v>
      </c>
      <c r="AC83" s="296" t="str">
        <f>IF(F83="","",IF(G83&lt;&gt;0,IF(AB83&lt;&gt;0,AB83/G83,'Production Data-Weekly input'!D80/100),""))</f>
        <v/>
      </c>
      <c r="AD83" s="275">
        <f>SUMIF('Production Data-Daily Input'!$B:$B,"Total "&amp;$A83,'Production Data-Daily Input'!$F:$F)</f>
        <v>0</v>
      </c>
      <c r="AE83" s="296" t="str">
        <f>IF(F83="","",IF(G83&lt;&gt;0,IF(AD83&lt;&gt;0,AD83/G83,'Production Data-Weekly input'!E80/100),""))</f>
        <v/>
      </c>
      <c r="AF83" s="275">
        <f t="shared" si="17"/>
        <v>0</v>
      </c>
      <c r="AG83" s="297" t="str">
        <f t="shared" ref="AG83:AG88" si="18">IF(F83="","",IF(G83&lt;&gt;0,AC83+AE83,""))</f>
        <v/>
      </c>
      <c r="AH83" s="298" t="str">
        <f>IF(AND(SUMIF('Production Data-Daily Input'!$B:$B,"Total "&amp;A83,'Production Data-Daily Input'!$J:$J)=0,SUMIF('Production Data-Weekly input'!$A:$A,A83,'Production Data-Weekly input'!$I:$I)=0),"",IF(SUMIF('Production Data-Daily Input'!$B:$B,"Total "&amp;A83,'Production Data-Daily Input'!$J:$J)&lt;&gt;0,SUMIF('Production Data-Daily Input'!$B:$B,"Total "&amp;A83,'Production Data-Daily Input'!$J:$J),SUMIF('Production Data-Weekly input'!$A:$A,A83,'Production Data-Weekly input'!$I:$I)))</f>
        <v/>
      </c>
    </row>
    <row r="84" spans="1:34" s="299" customFormat="1" ht="24.95" customHeight="1" x14ac:dyDescent="0.25">
      <c r="A84" s="273">
        <f t="shared" si="14"/>
        <v>86</v>
      </c>
      <c r="B84" s="429" t="str">
        <f>'Production Data-Daily Input'!B558</f>
        <v/>
      </c>
      <c r="C84" s="274" t="str">
        <f>IF(IF(AND(SUMIF('Production Data-Daily Input'!$B:$B,"Total "&amp;$A84,'Production Data-Daily Input'!$C:$C)="",SUMIF('Production Data-Weekly input'!$A:$A,A84,'Production Data-Weekly input'!$B:$B)=""),"",IF(SUMIF('Production Data-Daily Input'!$B:$B,"Total "&amp;$A84,'Production Data-Daily Input'!$C:$C)&lt;&gt;0,SUMIF('Production Data-Daily Input'!$B:$B,"Total "&amp;$A84,'Production Data-Daily Input'!$C:$C),SUMIF('Production Data-Weekly input'!$A:$A,A84,'Production Data-Weekly input'!$B:$B)/100*Data!$F$37))=0,"",IF(AND(SUMIF('Production Data-Daily Input'!$B:$B,"Total "&amp;$A84,'Production Data-Daily Input'!$C:$C)="",SUMIF('Production Data-Weekly input'!$A:$A,A84,'Production Data-Weekly input'!$B:$B)=""),"",IF(SUMIF('Production Data-Daily Input'!$B:$B,"Total "&amp;$A84,'Production Data-Daily Input'!$C:$C)&lt;&gt;0,SUMIF('Production Data-Daily Input'!$B:$B,"Total "&amp;$A84,'Production Data-Daily Input'!$C:$C),SUMIF('Production Data-Weekly input'!$A:$A,A84,'Production Data-Weekly input'!$B:$B)/100*Data!$F$37)))</f>
        <v/>
      </c>
      <c r="D84" s="275" t="str">
        <f>IF(AND(SUM(C84:$C$88)=0,SUMIF('Production Data-Daily Input'!$B:$B,"Total "&amp;$A84,'Production Data-Daily Input'!$D:$D)=0,SUMIF('Production Data-Weekly input'!$A:$A,$A84,'Production Data-Weekly input'!$C:$C)=0),"",IF(C84="",D83,C84+D83))</f>
        <v/>
      </c>
      <c r="E84" s="276" t="str">
        <f>IF(F84="","",F84/Data!F$37)</f>
        <v/>
      </c>
      <c r="F84" s="277" t="str">
        <f>IF(D84="","",Data!$F$37-D84)</f>
        <v/>
      </c>
      <c r="G84" s="278" t="str">
        <f>IF(F84="","",IF(SUMIF('Production Data-Daily Input'!$B:$B,"Total "&amp;$A84,'Production Data-Daily Input'!$D:$D)&lt;&gt;0,SUMIF('Production Data-Daily Input'!$B:$B,"Total "&amp;$A84,'Production Data-Daily Input'!$D:$D),IF(SUMIF('Production Data-Weekly input'!$A:$A,$A84,'Production Data-Weekly input'!$C:$C)=0,0,SUMIF('Production Data-Weekly input'!$A:$A,$A84,'Production Data-Weekly input'!$C:$C)/100*7*$F84)))</f>
        <v/>
      </c>
      <c r="H84" s="279" t="str">
        <f>IF(AND(G84="",'Production Data-Weekly input'!C81=""),"",IF(G84="",'Production Data-Weekly input'!C81,G84/F84/7*100))</f>
        <v/>
      </c>
      <c r="I84" s="300" t="str">
        <f>Standard!D76</f>
        <v/>
      </c>
      <c r="J84" s="275">
        <f t="shared" si="15"/>
        <v>0</v>
      </c>
      <c r="K84" s="281" t="str">
        <f>IF(H84="","",J84/Data!F$37)</f>
        <v/>
      </c>
      <c r="L84" s="301" t="str">
        <f>Standard!F76</f>
        <v/>
      </c>
      <c r="M84" s="283" t="str">
        <f>IF(IF(SUMIF('Production Data-Daily Input'!$B:$B,"Total "&amp;$A84,'Production Data-Daily Input'!$G:$G)&lt;&gt;0,SUMIF('Production Data-Daily Input'!$B:$B,"Total "&amp;$A84,'Production Data-Daily Input'!$G:$G),IF(SUMIF('Production Data-Weekly input'!$A:$A,$A84,'Production Data-Weekly input'!$F:$F)="","",SUMIF('Production Data-Weekly input'!$A:$A,$A84,'Production Data-Weekly input'!$F:$F)))=0,"",IF(SUMIF('Production Data-Daily Input'!$B:$B,"Total "&amp;$A84,'Production Data-Daily Input'!$G:$G)&lt;&gt;0,SUMIF('Production Data-Daily Input'!$B:$B,"Total "&amp;$A84,'Production Data-Daily Input'!$G:$G),IF(SUMIF('Production Data-Weekly input'!$A:$A,$A84,'Production Data-Weekly input'!$F:$F)="","",SUMIF('Production Data-Weekly input'!$A:$A,$A84,'Production Data-Weekly input'!$F:$F))))</f>
        <v/>
      </c>
      <c r="N84" s="302" t="str">
        <f>Standard!G76</f>
        <v/>
      </c>
      <c r="O84" s="285" t="str">
        <f t="shared" si="11"/>
        <v/>
      </c>
      <c r="P84" s="303" t="str">
        <f>Standard!H76</f>
        <v/>
      </c>
      <c r="Q84" s="287" t="str">
        <f>IF(Q83="","",IF(AND(H84="",Q83=""),"",IF(O84="","",IF(M84="",IF(Q83="",0,Q83),(M84*H84/100*7*F84/Data!F$37)+IF(Q83="",0,Q83)))))</f>
        <v/>
      </c>
      <c r="R84" s="288" t="str">
        <f>Standard!I76</f>
        <v/>
      </c>
      <c r="S84" s="289" t="str">
        <f>IF(AND(F84="",Q84=""),"",IF(J84&lt;&gt;"",IF(Q84="","",Q84*Data!F$37/J84),""))</f>
        <v/>
      </c>
      <c r="T84" s="290" t="str">
        <f>Standard!J76</f>
        <v/>
      </c>
      <c r="U84" s="291" t="str">
        <f t="shared" si="13"/>
        <v/>
      </c>
      <c r="V84" s="292" t="str">
        <f>IF(F84="","",IF(SUMIF('Production Data-Weekly input'!$A:$A,A84,'Production Data-Weekly input'!$G:$G)&lt;&gt;0,SUMIF('Production Data-Weekly input'!$A:$A,A84,'Production Data-Weekly input'!$G:$G),(SUMIF('Production Data-Daily Input'!$B:$B,"Total "&amp;A84,'Production Data-Daily Input'!$H:$H)*1000/7/F84)))</f>
        <v/>
      </c>
      <c r="W84" s="293" t="str">
        <f t="shared" si="16"/>
        <v/>
      </c>
      <c r="X84" s="293" t="str">
        <f>IF(W84&lt;&gt;"",W84/Data!F$37*1000/((A84-16)*7),"")</f>
        <v/>
      </c>
      <c r="Y84" s="400" t="str">
        <f t="shared" si="12"/>
        <v/>
      </c>
      <c r="Z84" s="294" t="str">
        <f>IF(F84="","",IF(OR(Q84=0,Q84=""),"",IF(W84&lt;&gt;0,W84/(Q84*Data!F$37/1000),"")))</f>
        <v/>
      </c>
      <c r="AA84" s="295" t="str">
        <f>IF(AND(U84=0,SUMIF('Production Data-Weekly input'!$A:$A,$A84,'Production Data-Weekly input'!$H:$H)=0,SUMIF('Production Data-Daily Input'!$B:$B,"Total "&amp;A84,'Production Data-Daily Input'!$I:$I)=0),"",IF(F84="","",IF(SUMIF('Production Data-Weekly input'!$A:$A,$A84,'Production Data-Weekly input'!$H:$H)&lt;&gt;0,SUMIF('Production Data-Weekly input'!$A:$A,$A84,'Production Data-Weekly input'!$H:$H)*7/U84,SUMIF('Production Data-Daily Input'!$B:$B,"Total "&amp;A84,'Production Data-Daily Input'!$I:$I)*7/U84)))</f>
        <v/>
      </c>
      <c r="AB84" s="278">
        <f>SUMIF('Production Data-Daily Input'!$B:$B,"Total "&amp;$A84,'Production Data-Daily Input'!$E:$E)</f>
        <v>0</v>
      </c>
      <c r="AC84" s="296" t="str">
        <f>IF(F84="","",IF(G84&lt;&gt;0,IF(AB84&lt;&gt;0,AB84/G84,'Production Data-Weekly input'!D81/100),""))</f>
        <v/>
      </c>
      <c r="AD84" s="275">
        <f>SUMIF('Production Data-Daily Input'!$B:$B,"Total "&amp;$A84,'Production Data-Daily Input'!$F:$F)</f>
        <v>0</v>
      </c>
      <c r="AE84" s="296" t="str">
        <f>IF(F84="","",IF(G84&lt;&gt;0,IF(AD84&lt;&gt;0,AD84/G84,'Production Data-Weekly input'!E81/100),""))</f>
        <v/>
      </c>
      <c r="AF84" s="275">
        <f t="shared" si="17"/>
        <v>0</v>
      </c>
      <c r="AG84" s="297" t="str">
        <f t="shared" si="18"/>
        <v/>
      </c>
      <c r="AH84" s="298" t="str">
        <f>IF(AND(SUMIF('Production Data-Daily Input'!$B:$B,"Total "&amp;A84,'Production Data-Daily Input'!$J:$J)=0,SUMIF('Production Data-Weekly input'!$A:$A,A84,'Production Data-Weekly input'!$I:$I)=0),"",IF(SUMIF('Production Data-Daily Input'!$B:$B,"Total "&amp;A84,'Production Data-Daily Input'!$J:$J)&lt;&gt;0,SUMIF('Production Data-Daily Input'!$B:$B,"Total "&amp;A84,'Production Data-Daily Input'!$J:$J),SUMIF('Production Data-Weekly input'!$A:$A,A84,'Production Data-Weekly input'!$I:$I)))</f>
        <v/>
      </c>
    </row>
    <row r="85" spans="1:34" s="299" customFormat="1" ht="24.95" customHeight="1" x14ac:dyDescent="0.25">
      <c r="A85" s="273">
        <f t="shared" si="14"/>
        <v>87</v>
      </c>
      <c r="B85" s="429" t="str">
        <f>'Production Data-Daily Input'!B566</f>
        <v/>
      </c>
      <c r="C85" s="274" t="str">
        <f>IF(IF(AND(SUMIF('Production Data-Daily Input'!$B:$B,"Total "&amp;$A85,'Production Data-Daily Input'!$C:$C)="",SUMIF('Production Data-Weekly input'!$A:$A,A85,'Production Data-Weekly input'!$B:$B)=""),"",IF(SUMIF('Production Data-Daily Input'!$B:$B,"Total "&amp;$A85,'Production Data-Daily Input'!$C:$C)&lt;&gt;0,SUMIF('Production Data-Daily Input'!$B:$B,"Total "&amp;$A85,'Production Data-Daily Input'!$C:$C),SUMIF('Production Data-Weekly input'!$A:$A,A85,'Production Data-Weekly input'!$B:$B)/100*Data!$F$37))=0,"",IF(AND(SUMIF('Production Data-Daily Input'!$B:$B,"Total "&amp;$A85,'Production Data-Daily Input'!$C:$C)="",SUMIF('Production Data-Weekly input'!$A:$A,A85,'Production Data-Weekly input'!$B:$B)=""),"",IF(SUMIF('Production Data-Daily Input'!$B:$B,"Total "&amp;$A85,'Production Data-Daily Input'!$C:$C)&lt;&gt;0,SUMIF('Production Data-Daily Input'!$B:$B,"Total "&amp;$A85,'Production Data-Daily Input'!$C:$C),SUMIF('Production Data-Weekly input'!$A:$A,A85,'Production Data-Weekly input'!$B:$B)/100*Data!$F$37)))</f>
        <v/>
      </c>
      <c r="D85" s="275" t="str">
        <f>IF(AND(SUM(C85:$C$88)=0,SUMIF('Production Data-Daily Input'!$B:$B,"Total "&amp;$A85,'Production Data-Daily Input'!$D:$D)=0,SUMIF('Production Data-Weekly input'!$A:$A,$A85,'Production Data-Weekly input'!$C:$C)=0),"",IF(C85="",D84,C85+D84))</f>
        <v/>
      </c>
      <c r="E85" s="276" t="str">
        <f>IF(F85="","",F85/Data!F$37)</f>
        <v/>
      </c>
      <c r="F85" s="277" t="str">
        <f>IF(D85="","",Data!$F$37-D85)</f>
        <v/>
      </c>
      <c r="G85" s="278" t="str">
        <f>IF(F85="","",IF(SUMIF('Production Data-Daily Input'!$B:$B,"Total "&amp;$A85,'Production Data-Daily Input'!$D:$D)&lt;&gt;0,SUMIF('Production Data-Daily Input'!$B:$B,"Total "&amp;$A85,'Production Data-Daily Input'!$D:$D),IF(SUMIF('Production Data-Weekly input'!$A:$A,$A85,'Production Data-Weekly input'!$C:$C)=0,0,SUMIF('Production Data-Weekly input'!$A:$A,$A85,'Production Data-Weekly input'!$C:$C)/100*7*$F85)))</f>
        <v/>
      </c>
      <c r="H85" s="279" t="str">
        <f>IF(AND(G85="",'Production Data-Weekly input'!C82=""),"",IF(G85="",'Production Data-Weekly input'!C82,G85/F85/7*100))</f>
        <v/>
      </c>
      <c r="I85" s="300" t="str">
        <f>Standard!D77</f>
        <v/>
      </c>
      <c r="J85" s="275">
        <f t="shared" si="15"/>
        <v>0</v>
      </c>
      <c r="K85" s="281" t="str">
        <f>IF(H85="","",J85/Data!F$37)</f>
        <v/>
      </c>
      <c r="L85" s="301" t="str">
        <f>Standard!F77</f>
        <v/>
      </c>
      <c r="M85" s="283" t="str">
        <f>IF(IF(SUMIF('Production Data-Daily Input'!$B:$B,"Total "&amp;$A85,'Production Data-Daily Input'!$G:$G)&lt;&gt;0,SUMIF('Production Data-Daily Input'!$B:$B,"Total "&amp;$A85,'Production Data-Daily Input'!$G:$G),IF(SUMIF('Production Data-Weekly input'!$A:$A,$A85,'Production Data-Weekly input'!$F:$F)="","",SUMIF('Production Data-Weekly input'!$A:$A,$A85,'Production Data-Weekly input'!$F:$F)))=0,"",IF(SUMIF('Production Data-Daily Input'!$B:$B,"Total "&amp;$A85,'Production Data-Daily Input'!$G:$G)&lt;&gt;0,SUMIF('Production Data-Daily Input'!$B:$B,"Total "&amp;$A85,'Production Data-Daily Input'!$G:$G),IF(SUMIF('Production Data-Weekly input'!$A:$A,$A85,'Production Data-Weekly input'!$F:$F)="","",SUMIF('Production Data-Weekly input'!$A:$A,$A85,'Production Data-Weekly input'!$F:$F))))</f>
        <v/>
      </c>
      <c r="N85" s="302" t="str">
        <f>Standard!G77</f>
        <v/>
      </c>
      <c r="O85" s="285" t="str">
        <f t="shared" si="11"/>
        <v/>
      </c>
      <c r="P85" s="303" t="str">
        <f>Standard!H77</f>
        <v/>
      </c>
      <c r="Q85" s="287" t="str">
        <f>IF(Q84="","",IF(AND(H85="",Q84=""),"",IF(O85="","",IF(M85="",IF(Q84="",0,Q84),(M85*H85/100*7*F85/Data!F$37)+IF(Q84="",0,Q84)))))</f>
        <v/>
      </c>
      <c r="R85" s="288" t="str">
        <f>Standard!I77</f>
        <v/>
      </c>
      <c r="S85" s="289" t="str">
        <f>IF(AND(F85="",Q85=""),"",IF(J85&lt;&gt;"",IF(Q85="","",Q85*Data!F$37/J85),""))</f>
        <v/>
      </c>
      <c r="T85" s="290" t="str">
        <f>Standard!J77</f>
        <v/>
      </c>
      <c r="U85" s="291" t="str">
        <f t="shared" si="13"/>
        <v/>
      </c>
      <c r="V85" s="292" t="str">
        <f>IF(F85="","",IF(SUMIF('Production Data-Weekly input'!$A:$A,A85,'Production Data-Weekly input'!$G:$G)&lt;&gt;0,SUMIF('Production Data-Weekly input'!$A:$A,A85,'Production Data-Weekly input'!$G:$G),(SUMIF('Production Data-Daily Input'!$B:$B,"Total "&amp;A85,'Production Data-Daily Input'!$H:$H)*1000/7/F85)))</f>
        <v/>
      </c>
      <c r="W85" s="293" t="str">
        <f t="shared" si="16"/>
        <v/>
      </c>
      <c r="X85" s="293" t="str">
        <f>IF(W85&lt;&gt;"",W85/Data!F$37*1000/((A85-16)*7),"")</f>
        <v/>
      </c>
      <c r="Y85" s="400" t="str">
        <f t="shared" si="12"/>
        <v/>
      </c>
      <c r="Z85" s="294" t="str">
        <f>IF(F85="","",IF(OR(Q85=0,Q85=""),"",IF(W85&lt;&gt;0,W85/(Q85*Data!F$37/1000),"")))</f>
        <v/>
      </c>
      <c r="AA85" s="295" t="str">
        <f>IF(AND(U85=0,SUMIF('Production Data-Weekly input'!$A:$A,$A85,'Production Data-Weekly input'!$H:$H)=0,SUMIF('Production Data-Daily Input'!$B:$B,"Total "&amp;A85,'Production Data-Daily Input'!$I:$I)=0),"",IF(F85="","",IF(SUMIF('Production Data-Weekly input'!$A:$A,$A85,'Production Data-Weekly input'!$H:$H)&lt;&gt;0,SUMIF('Production Data-Weekly input'!$A:$A,$A85,'Production Data-Weekly input'!$H:$H)*7/U85,SUMIF('Production Data-Daily Input'!$B:$B,"Total "&amp;A85,'Production Data-Daily Input'!$I:$I)*7/U85)))</f>
        <v/>
      </c>
      <c r="AB85" s="278">
        <f>SUMIF('Production Data-Daily Input'!$B:$B,"Total "&amp;$A85,'Production Data-Daily Input'!$E:$E)</f>
        <v>0</v>
      </c>
      <c r="AC85" s="296" t="str">
        <f>IF(F85="","",IF(G85&lt;&gt;0,IF(AB85&lt;&gt;0,AB85/G85,'Production Data-Weekly input'!D82/100),""))</f>
        <v/>
      </c>
      <c r="AD85" s="275">
        <f>SUMIF('Production Data-Daily Input'!$B:$B,"Total "&amp;$A85,'Production Data-Daily Input'!$F:$F)</f>
        <v>0</v>
      </c>
      <c r="AE85" s="296" t="str">
        <f>IF(F85="","",IF(G85&lt;&gt;0,IF(AD85&lt;&gt;0,AD85/G85,'Production Data-Weekly input'!E82/100),""))</f>
        <v/>
      </c>
      <c r="AF85" s="275">
        <f t="shared" si="17"/>
        <v>0</v>
      </c>
      <c r="AG85" s="297" t="str">
        <f t="shared" si="18"/>
        <v/>
      </c>
      <c r="AH85" s="298" t="str">
        <f>IF(AND(SUMIF('Production Data-Daily Input'!$B:$B,"Total "&amp;A85,'Production Data-Daily Input'!$J:$J)=0,SUMIF('Production Data-Weekly input'!$A:$A,A85,'Production Data-Weekly input'!$I:$I)=0),"",IF(SUMIF('Production Data-Daily Input'!$B:$B,"Total "&amp;A85,'Production Data-Daily Input'!$J:$J)&lt;&gt;0,SUMIF('Production Data-Daily Input'!$B:$B,"Total "&amp;A85,'Production Data-Daily Input'!$J:$J),SUMIF('Production Data-Weekly input'!$A:$A,A85,'Production Data-Weekly input'!$I:$I)))</f>
        <v/>
      </c>
    </row>
    <row r="86" spans="1:34" s="299" customFormat="1" ht="24.95" customHeight="1" x14ac:dyDescent="0.25">
      <c r="A86" s="273">
        <f t="shared" si="14"/>
        <v>88</v>
      </c>
      <c r="B86" s="429" t="str">
        <f>'Production Data-Daily Input'!B574</f>
        <v/>
      </c>
      <c r="C86" s="274" t="str">
        <f>IF(IF(AND(SUMIF('Production Data-Daily Input'!$B:$B,"Total "&amp;$A86,'Production Data-Daily Input'!$C:$C)="",SUMIF('Production Data-Weekly input'!$A:$A,A86,'Production Data-Weekly input'!$B:$B)=""),"",IF(SUMIF('Production Data-Daily Input'!$B:$B,"Total "&amp;$A86,'Production Data-Daily Input'!$C:$C)&lt;&gt;0,SUMIF('Production Data-Daily Input'!$B:$B,"Total "&amp;$A86,'Production Data-Daily Input'!$C:$C),SUMIF('Production Data-Weekly input'!$A:$A,A86,'Production Data-Weekly input'!$B:$B)/100*Data!$F$37))=0,"",IF(AND(SUMIF('Production Data-Daily Input'!$B:$B,"Total "&amp;$A86,'Production Data-Daily Input'!$C:$C)="",SUMIF('Production Data-Weekly input'!$A:$A,A86,'Production Data-Weekly input'!$B:$B)=""),"",IF(SUMIF('Production Data-Daily Input'!$B:$B,"Total "&amp;$A86,'Production Data-Daily Input'!$C:$C)&lt;&gt;0,SUMIF('Production Data-Daily Input'!$B:$B,"Total "&amp;$A86,'Production Data-Daily Input'!$C:$C),SUMIF('Production Data-Weekly input'!$A:$A,A86,'Production Data-Weekly input'!$B:$B)/100*Data!$F$37)))</f>
        <v/>
      </c>
      <c r="D86" s="275" t="str">
        <f>IF(AND(SUM(C86:$C$88)=0,SUMIF('Production Data-Daily Input'!$B:$B,"Total "&amp;$A86,'Production Data-Daily Input'!$D:$D)=0,SUMIF('Production Data-Weekly input'!$A:$A,$A86,'Production Data-Weekly input'!$C:$C)=0),"",IF(C86="",D85,C86+D85))</f>
        <v/>
      </c>
      <c r="E86" s="276" t="str">
        <f>IF(F86="","",F86/Data!F$37)</f>
        <v/>
      </c>
      <c r="F86" s="277" t="str">
        <f>IF(D86="","",Data!$F$37-D86)</f>
        <v/>
      </c>
      <c r="G86" s="278" t="str">
        <f>IF(F86="","",IF(SUMIF('Production Data-Daily Input'!$B:$B,"Total "&amp;$A86,'Production Data-Daily Input'!$D:$D)&lt;&gt;0,SUMIF('Production Data-Daily Input'!$B:$B,"Total "&amp;$A86,'Production Data-Daily Input'!$D:$D),IF(SUMIF('Production Data-Weekly input'!$A:$A,$A86,'Production Data-Weekly input'!$C:$C)=0,0,SUMIF('Production Data-Weekly input'!$A:$A,$A86,'Production Data-Weekly input'!$C:$C)/100*7*$F86)))</f>
        <v/>
      </c>
      <c r="H86" s="279" t="str">
        <f>IF(AND(G86="",'Production Data-Weekly input'!C83=""),"",IF(G86="",'Production Data-Weekly input'!C83,G86/F86/7*100))</f>
        <v/>
      </c>
      <c r="I86" s="300" t="str">
        <f>Standard!D78</f>
        <v/>
      </c>
      <c r="J86" s="275">
        <f t="shared" si="15"/>
        <v>0</v>
      </c>
      <c r="K86" s="281" t="str">
        <f>IF(H86="","",J86/Data!F$37)</f>
        <v/>
      </c>
      <c r="L86" s="301" t="str">
        <f>Standard!F78</f>
        <v/>
      </c>
      <c r="M86" s="283" t="str">
        <f>IF(IF(SUMIF('Production Data-Daily Input'!$B:$B,"Total "&amp;$A86,'Production Data-Daily Input'!$G:$G)&lt;&gt;0,SUMIF('Production Data-Daily Input'!$B:$B,"Total "&amp;$A86,'Production Data-Daily Input'!$G:$G),IF(SUMIF('Production Data-Weekly input'!$A:$A,$A86,'Production Data-Weekly input'!$F:$F)="","",SUMIF('Production Data-Weekly input'!$A:$A,$A86,'Production Data-Weekly input'!$F:$F)))=0,"",IF(SUMIF('Production Data-Daily Input'!$B:$B,"Total "&amp;$A86,'Production Data-Daily Input'!$G:$G)&lt;&gt;0,SUMIF('Production Data-Daily Input'!$B:$B,"Total "&amp;$A86,'Production Data-Daily Input'!$G:$G),IF(SUMIF('Production Data-Weekly input'!$A:$A,$A86,'Production Data-Weekly input'!$F:$F)="","",SUMIF('Production Data-Weekly input'!$A:$A,$A86,'Production Data-Weekly input'!$F:$F))))</f>
        <v/>
      </c>
      <c r="N86" s="302" t="str">
        <f>Standard!G78</f>
        <v/>
      </c>
      <c r="O86" s="285" t="str">
        <f t="shared" si="11"/>
        <v/>
      </c>
      <c r="P86" s="303" t="str">
        <f>Standard!H78</f>
        <v/>
      </c>
      <c r="Q86" s="287" t="str">
        <f>IF(Q85="","",IF(AND(H86="",Q85=""),"",IF(O86="","",IF(M86="",IF(Q85="",0,Q85),(M86*H86/100*7*F86/Data!F$37)+IF(Q85="",0,Q85)))))</f>
        <v/>
      </c>
      <c r="R86" s="288" t="str">
        <f>Standard!I78</f>
        <v/>
      </c>
      <c r="S86" s="289" t="str">
        <f>IF(AND(F86="",Q86=""),"",IF(J86&lt;&gt;"",IF(Q86="","",Q86*Data!F$37/J86),""))</f>
        <v/>
      </c>
      <c r="T86" s="290" t="str">
        <f>Standard!J78</f>
        <v/>
      </c>
      <c r="U86" s="291" t="str">
        <f t="shared" si="13"/>
        <v/>
      </c>
      <c r="V86" s="292" t="str">
        <f>IF(F86="","",IF(SUMIF('Production Data-Weekly input'!$A:$A,A86,'Production Data-Weekly input'!$G:$G)&lt;&gt;0,SUMIF('Production Data-Weekly input'!$A:$A,A86,'Production Data-Weekly input'!$G:$G),(SUMIF('Production Data-Daily Input'!$B:$B,"Total "&amp;A86,'Production Data-Daily Input'!$H:$H)*1000/7/F86)))</f>
        <v/>
      </c>
      <c r="W86" s="293" t="str">
        <f t="shared" si="16"/>
        <v/>
      </c>
      <c r="X86" s="293" t="str">
        <f>IF(W86&lt;&gt;"",W86/Data!F$37*1000/((A86-16)*7),"")</f>
        <v/>
      </c>
      <c r="Y86" s="400" t="str">
        <f t="shared" si="12"/>
        <v/>
      </c>
      <c r="Z86" s="294" t="str">
        <f>IF(F86="","",IF(OR(Q86=0,Q86=""),"",IF(W86&lt;&gt;0,W86/(Q86*Data!F$37/1000),"")))</f>
        <v/>
      </c>
      <c r="AA86" s="295" t="str">
        <f>IF(AND(U86=0,SUMIF('Production Data-Weekly input'!$A:$A,$A86,'Production Data-Weekly input'!$H:$H)=0,SUMIF('Production Data-Daily Input'!$B:$B,"Total "&amp;A86,'Production Data-Daily Input'!$I:$I)=0),"",IF(F86="","",IF(SUMIF('Production Data-Weekly input'!$A:$A,$A86,'Production Data-Weekly input'!$H:$H)&lt;&gt;0,SUMIF('Production Data-Weekly input'!$A:$A,$A86,'Production Data-Weekly input'!$H:$H)*7/U86,SUMIF('Production Data-Daily Input'!$B:$B,"Total "&amp;A86,'Production Data-Daily Input'!$I:$I)*7/U86)))</f>
        <v/>
      </c>
      <c r="AB86" s="278">
        <f>SUMIF('Production Data-Daily Input'!$B:$B,"Total "&amp;$A86,'Production Data-Daily Input'!$E:$E)</f>
        <v>0</v>
      </c>
      <c r="AC86" s="296" t="str">
        <f>IF(F86="","",IF(G86&lt;&gt;0,IF(AB86&lt;&gt;0,AB86/G86,'Production Data-Weekly input'!D83/100),""))</f>
        <v/>
      </c>
      <c r="AD86" s="275">
        <f>SUMIF('Production Data-Daily Input'!$B:$B,"Total "&amp;$A86,'Production Data-Daily Input'!$F:$F)</f>
        <v>0</v>
      </c>
      <c r="AE86" s="296" t="str">
        <f>IF(F86="","",IF(G86&lt;&gt;0,IF(AD86&lt;&gt;0,AD86/G86,'Production Data-Weekly input'!E83/100),""))</f>
        <v/>
      </c>
      <c r="AF86" s="275">
        <f t="shared" si="17"/>
        <v>0</v>
      </c>
      <c r="AG86" s="297" t="str">
        <f t="shared" si="18"/>
        <v/>
      </c>
      <c r="AH86" s="298" t="str">
        <f>IF(AND(SUMIF('Production Data-Daily Input'!$B:$B,"Total "&amp;A86,'Production Data-Daily Input'!$J:$J)=0,SUMIF('Production Data-Weekly input'!$A:$A,A86,'Production Data-Weekly input'!$I:$I)=0),"",IF(SUMIF('Production Data-Daily Input'!$B:$B,"Total "&amp;A86,'Production Data-Daily Input'!$J:$J)&lt;&gt;0,SUMIF('Production Data-Daily Input'!$B:$B,"Total "&amp;A86,'Production Data-Daily Input'!$J:$J),SUMIF('Production Data-Weekly input'!$A:$A,A86,'Production Data-Weekly input'!$I:$I)))</f>
        <v/>
      </c>
    </row>
    <row r="87" spans="1:34" s="299" customFormat="1" ht="24.95" customHeight="1" x14ac:dyDescent="0.25">
      <c r="A87" s="273">
        <f t="shared" si="14"/>
        <v>89</v>
      </c>
      <c r="B87" s="429" t="str">
        <f>'Production Data-Daily Input'!B582</f>
        <v/>
      </c>
      <c r="C87" s="274" t="str">
        <f>IF(IF(AND(SUMIF('Production Data-Daily Input'!$B:$B,"Total "&amp;$A87,'Production Data-Daily Input'!$C:$C)="",SUMIF('Production Data-Weekly input'!$A:$A,A87,'Production Data-Weekly input'!$B:$B)=""),"",IF(SUMIF('Production Data-Daily Input'!$B:$B,"Total "&amp;$A87,'Production Data-Daily Input'!$C:$C)&lt;&gt;0,SUMIF('Production Data-Daily Input'!$B:$B,"Total "&amp;$A87,'Production Data-Daily Input'!$C:$C),SUMIF('Production Data-Weekly input'!$A:$A,A87,'Production Data-Weekly input'!$B:$B)/100*Data!$F$37))=0,"",IF(AND(SUMIF('Production Data-Daily Input'!$B:$B,"Total "&amp;$A87,'Production Data-Daily Input'!$C:$C)="",SUMIF('Production Data-Weekly input'!$A:$A,A87,'Production Data-Weekly input'!$B:$B)=""),"",IF(SUMIF('Production Data-Daily Input'!$B:$B,"Total "&amp;$A87,'Production Data-Daily Input'!$C:$C)&lt;&gt;0,SUMIF('Production Data-Daily Input'!$B:$B,"Total "&amp;$A87,'Production Data-Daily Input'!$C:$C),SUMIF('Production Data-Weekly input'!$A:$A,A87,'Production Data-Weekly input'!$B:$B)/100*Data!$F$37)))</f>
        <v/>
      </c>
      <c r="D87" s="275" t="str">
        <f>IF(AND(SUM(C87:$C$88)=0,SUMIF('Production Data-Daily Input'!$B:$B,"Total "&amp;$A87,'Production Data-Daily Input'!$D:$D)=0,SUMIF('Production Data-Weekly input'!$A:$A,$A87,'Production Data-Weekly input'!$C:$C)=0),"",IF(C87="",D86,C87+D86))</f>
        <v/>
      </c>
      <c r="E87" s="276" t="str">
        <f>IF(F87="","",F87/Data!F$37)</f>
        <v/>
      </c>
      <c r="F87" s="277" t="str">
        <f>IF(D87="","",Data!$F$37-D87)</f>
        <v/>
      </c>
      <c r="G87" s="278" t="str">
        <f>IF(F87="","",IF(SUMIF('Production Data-Daily Input'!$B:$B,"Total "&amp;$A87,'Production Data-Daily Input'!$D:$D)&lt;&gt;0,SUMIF('Production Data-Daily Input'!$B:$B,"Total "&amp;$A87,'Production Data-Daily Input'!$D:$D),IF(SUMIF('Production Data-Weekly input'!$A:$A,$A87,'Production Data-Weekly input'!$C:$C)=0,0,SUMIF('Production Data-Weekly input'!$A:$A,$A87,'Production Data-Weekly input'!$C:$C)/100*7*$F87)))</f>
        <v/>
      </c>
      <c r="H87" s="279" t="str">
        <f>IF(AND(G87="",'Production Data-Weekly input'!C84=""),"",IF(G87="",'Production Data-Weekly input'!C84,G87/F87/7*100))</f>
        <v/>
      </c>
      <c r="I87" s="300" t="str">
        <f>Standard!D79</f>
        <v/>
      </c>
      <c r="J87" s="275">
        <f t="shared" si="15"/>
        <v>0</v>
      </c>
      <c r="K87" s="281" t="str">
        <f>IF(H87="","",J87/Data!F$37)</f>
        <v/>
      </c>
      <c r="L87" s="301" t="str">
        <f>Standard!F79</f>
        <v/>
      </c>
      <c r="M87" s="283" t="str">
        <f>IF(IF(SUMIF('Production Data-Daily Input'!$B:$B,"Total "&amp;$A87,'Production Data-Daily Input'!$G:$G)&lt;&gt;0,SUMIF('Production Data-Daily Input'!$B:$B,"Total "&amp;$A87,'Production Data-Daily Input'!$G:$G),IF(SUMIF('Production Data-Weekly input'!$A:$A,$A87,'Production Data-Weekly input'!$F:$F)="","",SUMIF('Production Data-Weekly input'!$A:$A,$A87,'Production Data-Weekly input'!$F:$F)))=0,"",IF(SUMIF('Production Data-Daily Input'!$B:$B,"Total "&amp;$A87,'Production Data-Daily Input'!$G:$G)&lt;&gt;0,SUMIF('Production Data-Daily Input'!$B:$B,"Total "&amp;$A87,'Production Data-Daily Input'!$G:$G),IF(SUMIF('Production Data-Weekly input'!$A:$A,$A87,'Production Data-Weekly input'!$F:$F)="","",SUMIF('Production Data-Weekly input'!$A:$A,$A87,'Production Data-Weekly input'!$F:$F))))</f>
        <v/>
      </c>
      <c r="N87" s="302" t="str">
        <f>Standard!G79</f>
        <v/>
      </c>
      <c r="O87" s="285" t="str">
        <f t="shared" si="11"/>
        <v/>
      </c>
      <c r="P87" s="303" t="str">
        <f>Standard!H79</f>
        <v/>
      </c>
      <c r="Q87" s="287" t="str">
        <f>IF(Q86="","",IF(AND(H87="",Q86=""),"",IF(O87="","",IF(M87="",IF(Q86="",0,Q86),(M87*H87/100*7*F87/Data!F$37)+IF(Q86="",0,Q86)))))</f>
        <v/>
      </c>
      <c r="R87" s="288" t="str">
        <f>Standard!I79</f>
        <v/>
      </c>
      <c r="S87" s="289" t="str">
        <f>IF(AND(F87="",Q87=""),"",IF(J87&lt;&gt;"",IF(Q87="","",Q87*Data!F$37/J87),""))</f>
        <v/>
      </c>
      <c r="T87" s="290" t="str">
        <f>Standard!J79</f>
        <v/>
      </c>
      <c r="U87" s="291" t="str">
        <f t="shared" si="13"/>
        <v/>
      </c>
      <c r="V87" s="292" t="str">
        <f>IF(F87="","",IF(SUMIF('Production Data-Weekly input'!$A:$A,A87,'Production Data-Weekly input'!$G:$G)&lt;&gt;0,SUMIF('Production Data-Weekly input'!$A:$A,A87,'Production Data-Weekly input'!$G:$G),(SUMIF('Production Data-Daily Input'!$B:$B,"Total "&amp;A87,'Production Data-Daily Input'!$H:$H)*1000/7/F87)))</f>
        <v/>
      </c>
      <c r="W87" s="293" t="str">
        <f t="shared" si="16"/>
        <v/>
      </c>
      <c r="X87" s="293" t="str">
        <f>IF(W87&lt;&gt;"",W87/Data!F$37*1000/((A87-16)*7),"")</f>
        <v/>
      </c>
      <c r="Y87" s="400" t="str">
        <f t="shared" si="12"/>
        <v/>
      </c>
      <c r="Z87" s="294" t="str">
        <f>IF(F87="","",IF(OR(Q87=0,Q87=""),"",IF(W87&lt;&gt;0,W87/(Q87*Data!F$37/1000),"")))</f>
        <v/>
      </c>
      <c r="AA87" s="295" t="str">
        <f>IF(AND(U87=0,SUMIF('Production Data-Weekly input'!$A:$A,$A87,'Production Data-Weekly input'!$H:$H)=0,SUMIF('Production Data-Daily Input'!$B:$B,"Total "&amp;A87,'Production Data-Daily Input'!$I:$I)=0),"",IF(F87="","",IF(SUMIF('Production Data-Weekly input'!$A:$A,$A87,'Production Data-Weekly input'!$H:$H)&lt;&gt;0,SUMIF('Production Data-Weekly input'!$A:$A,$A87,'Production Data-Weekly input'!$H:$H)*7/U87,SUMIF('Production Data-Daily Input'!$B:$B,"Total "&amp;A87,'Production Data-Daily Input'!$I:$I)*7/U87)))</f>
        <v/>
      </c>
      <c r="AB87" s="278">
        <f>SUMIF('Production Data-Daily Input'!$B:$B,"Total "&amp;$A87,'Production Data-Daily Input'!$E:$E)</f>
        <v>0</v>
      </c>
      <c r="AC87" s="296" t="str">
        <f>IF(F87="","",IF(G87&lt;&gt;0,IF(AB87&lt;&gt;0,AB87/G87,'Production Data-Weekly input'!D84/100),""))</f>
        <v/>
      </c>
      <c r="AD87" s="275">
        <f>SUMIF('Production Data-Daily Input'!$B:$B,"Total "&amp;$A87,'Production Data-Daily Input'!$F:$F)</f>
        <v>0</v>
      </c>
      <c r="AE87" s="296" t="str">
        <f>IF(F87="","",IF(G87&lt;&gt;0,IF(AD87&lt;&gt;0,AD87/G87,'Production Data-Weekly input'!E84/100),""))</f>
        <v/>
      </c>
      <c r="AF87" s="275">
        <f t="shared" si="17"/>
        <v>0</v>
      </c>
      <c r="AG87" s="297" t="str">
        <f t="shared" si="18"/>
        <v/>
      </c>
      <c r="AH87" s="298" t="str">
        <f>IF(AND(SUMIF('Production Data-Daily Input'!$B:$B,"Total "&amp;A87,'Production Data-Daily Input'!$J:$J)=0,SUMIF('Production Data-Weekly input'!$A:$A,A87,'Production Data-Weekly input'!$I:$I)=0),"",IF(SUMIF('Production Data-Daily Input'!$B:$B,"Total "&amp;A87,'Production Data-Daily Input'!$J:$J)&lt;&gt;0,SUMIF('Production Data-Daily Input'!$B:$B,"Total "&amp;A87,'Production Data-Daily Input'!$J:$J),SUMIF('Production Data-Weekly input'!$A:$A,A87,'Production Data-Weekly input'!$I:$I)))</f>
        <v/>
      </c>
    </row>
    <row r="88" spans="1:34" s="299" customFormat="1" ht="24.95" customHeight="1" thickBot="1" x14ac:dyDescent="0.3">
      <c r="A88" s="304">
        <f t="shared" si="14"/>
        <v>90</v>
      </c>
      <c r="B88" s="430" t="str">
        <f>'Production Data-Daily Input'!B590</f>
        <v/>
      </c>
      <c r="C88" s="305" t="str">
        <f>IF(IF(AND(SUMIF('Production Data-Daily Input'!$B:$B,"Total "&amp;$A88,'Production Data-Daily Input'!$C:$C)="",SUMIF('Production Data-Weekly input'!$A:$A,A88,'Production Data-Weekly input'!$B:$B)=""),"",IF(SUMIF('Production Data-Daily Input'!$B:$B,"Total "&amp;$A88,'Production Data-Daily Input'!$C:$C)&lt;&gt;0,SUMIF('Production Data-Daily Input'!$B:$B,"Total "&amp;$A88,'Production Data-Daily Input'!$C:$C),SUMIF('Production Data-Weekly input'!$A:$A,A88,'Production Data-Weekly input'!$B:$B)/100*Data!$F$37))=0,"",IF(AND(SUMIF('Production Data-Daily Input'!$B:$B,"Total "&amp;$A88,'Production Data-Daily Input'!$C:$C)="",SUMIF('Production Data-Weekly input'!$A:$A,A88,'Production Data-Weekly input'!$B:$B)=""),"",IF(SUMIF('Production Data-Daily Input'!$B:$B,"Total "&amp;$A88,'Production Data-Daily Input'!$C:$C)&lt;&gt;0,SUMIF('Production Data-Daily Input'!$B:$B,"Total "&amp;$A88,'Production Data-Daily Input'!$C:$C),SUMIF('Production Data-Weekly input'!$A:$A,A88,'Production Data-Weekly input'!$B:$B)/100*Data!$F$37)))</f>
        <v/>
      </c>
      <c r="D88" s="306" t="str">
        <f>IF(AND(SUM(C88:$C$88)=0,SUMIF('Production Data-Daily Input'!$B:$B,"Total "&amp;$A88,'Production Data-Daily Input'!$D:$D)=0,SUMIF('Production Data-Weekly input'!$A:$A,$A88,'Production Data-Weekly input'!$C:$C)=0),"",IF(C88="",D87,C88+D87))</f>
        <v/>
      </c>
      <c r="E88" s="307" t="str">
        <f>IF(F88="","",F88/Data!F$37)</f>
        <v/>
      </c>
      <c r="F88" s="308" t="str">
        <f>IF(D88="","",Data!$F$37-D88)</f>
        <v/>
      </c>
      <c r="G88" s="309" t="str">
        <f>IF(F88="","",IF(SUMIF('Production Data-Daily Input'!$B:$B,"Total "&amp;$A88,'Production Data-Daily Input'!$D:$D)&lt;&gt;0,SUMIF('Production Data-Daily Input'!$B:$B,"Total "&amp;$A88,'Production Data-Daily Input'!$D:$D),IF(SUMIF('Production Data-Weekly input'!$A:$A,$A88,'Production Data-Weekly input'!$C:$C)=0,0,SUMIF('Production Data-Weekly input'!$A:$A,$A88,'Production Data-Weekly input'!$C:$C)/100*7*$F88)))</f>
        <v/>
      </c>
      <c r="H88" s="310" t="str">
        <f>IF(AND(G88="",'Production Data-Weekly input'!C85=""),"",IF(G88="",'Production Data-Weekly input'!C85,G88/F88/7*100))</f>
        <v/>
      </c>
      <c r="I88" s="311" t="str">
        <f>Standard!D80</f>
        <v/>
      </c>
      <c r="J88" s="306">
        <f t="shared" si="15"/>
        <v>0</v>
      </c>
      <c r="K88" s="312" t="str">
        <f>IF(H88="","",J88/Data!F$37)</f>
        <v/>
      </c>
      <c r="L88" s="313" t="str">
        <f>Standard!F80</f>
        <v/>
      </c>
      <c r="M88" s="314" t="str">
        <f>IF(IF(SUMIF('Production Data-Daily Input'!$B:$B,"Total "&amp;$A88,'Production Data-Daily Input'!$G:$G)&lt;&gt;0,SUMIF('Production Data-Daily Input'!$B:$B,"Total "&amp;$A88,'Production Data-Daily Input'!$G:$G),IF(SUMIF('Production Data-Weekly input'!$A:$A,$A88,'Production Data-Weekly input'!$F:$F)="","",SUMIF('Production Data-Weekly input'!$A:$A,$A88,'Production Data-Weekly input'!$F:$F)))=0,"",IF(SUMIF('Production Data-Daily Input'!$B:$B,"Total "&amp;$A88,'Production Data-Daily Input'!$G:$G)&lt;&gt;0,SUMIF('Production Data-Daily Input'!$B:$B,"Total "&amp;$A88,'Production Data-Daily Input'!$G:$G),IF(SUMIF('Production Data-Weekly input'!$A:$A,$A88,'Production Data-Weekly input'!$F:$F)="","",SUMIF('Production Data-Weekly input'!$A:$A,$A88,'Production Data-Weekly input'!$F:$F))))</f>
        <v/>
      </c>
      <c r="N88" s="315" t="str">
        <f>Standard!G80</f>
        <v/>
      </c>
      <c r="O88" s="316" t="str">
        <f t="shared" si="11"/>
        <v/>
      </c>
      <c r="P88" s="317" t="str">
        <f>Standard!H80</f>
        <v/>
      </c>
      <c r="Q88" s="318" t="str">
        <f>IF(Q87="","",IF(AND(H88="",Q87=""),"",IF(O88="","",IF(M88="",IF(Q87="",0,Q87),(M88*H88/100*7*F88/Data!F$37)+IF(Q87="",0,Q87)))))</f>
        <v/>
      </c>
      <c r="R88" s="319" t="str">
        <f>Standard!I80</f>
        <v/>
      </c>
      <c r="S88" s="320" t="str">
        <f>IF(AND(F88="",Q88=""),"",IF(J88&lt;&gt;"",IF(Q88="","",Q88*Data!F$37/J88),""))</f>
        <v/>
      </c>
      <c r="T88" s="321" t="str">
        <f>Standard!J80</f>
        <v/>
      </c>
      <c r="U88" s="309" t="str">
        <f t="shared" si="13"/>
        <v/>
      </c>
      <c r="V88" s="322" t="str">
        <f>IF(F88="","",IF(SUMIF('Production Data-Weekly input'!$A:$A,A88,'Production Data-Weekly input'!$G:$G)&lt;&gt;0,SUMIF('Production Data-Weekly input'!$A:$A,A88,'Production Data-Weekly input'!$G:$G),(SUMIF('Production Data-Daily Input'!$B:$B,"Total "&amp;A88,'Production Data-Daily Input'!$H:$H)*1000/7/F88)))</f>
        <v/>
      </c>
      <c r="W88" s="323" t="str">
        <f t="shared" si="16"/>
        <v/>
      </c>
      <c r="X88" s="323" t="str">
        <f>IF(W88&lt;&gt;"",W88/Data!F$37*1000/((A88-16)*7),"")</f>
        <v/>
      </c>
      <c r="Y88" s="401" t="str">
        <f t="shared" si="12"/>
        <v/>
      </c>
      <c r="Z88" s="324" t="str">
        <f>IF(F88="","",IF(OR(Q88=0,Q88=""),"",IF(W88&lt;&gt;0,W88/(Q88*Data!F$37/1000),"")))</f>
        <v/>
      </c>
      <c r="AA88" s="325" t="str">
        <f>IF(AND(U88=0,SUMIF('Production Data-Weekly input'!$A:$A,$A88,'Production Data-Weekly input'!$H:$H)=0,SUMIF('Production Data-Daily Input'!$B:$B,"Total "&amp;A88,'Production Data-Daily Input'!$I:$I)=0),"",IF(F88="","",IF(SUMIF('Production Data-Weekly input'!$A:$A,$A88,'Production Data-Weekly input'!$H:$H)&lt;&gt;0,SUMIF('Production Data-Weekly input'!$A:$A,$A88,'Production Data-Weekly input'!$H:$H)*7/U88,SUMIF('Production Data-Daily Input'!$B:$B,"Total "&amp;A88,'Production Data-Daily Input'!$I:$I)*7/U88)))</f>
        <v/>
      </c>
      <c r="AB88" s="309">
        <f>SUMIF('Production Data-Daily Input'!$B:$B,"Total "&amp;$A88,'Production Data-Daily Input'!$E:$E)</f>
        <v>0</v>
      </c>
      <c r="AC88" s="326" t="str">
        <f>IF(F88="","",IF(G88&lt;&gt;0,IF(AB88&lt;&gt;0,AB88/G88,'Production Data-Weekly input'!D85/100),""))</f>
        <v/>
      </c>
      <c r="AD88" s="306">
        <f>SUMIF('Production Data-Daily Input'!$B:$B,"Total "&amp;$A88,'Production Data-Daily Input'!$F:$F)</f>
        <v>0</v>
      </c>
      <c r="AE88" s="326" t="str">
        <f>IF(F88="","",IF(G88&lt;&gt;0,IF(AD88&lt;&gt;0,AD88/G88,'Production Data-Weekly input'!E85/100),""))</f>
        <v/>
      </c>
      <c r="AF88" s="306">
        <f t="shared" si="17"/>
        <v>0</v>
      </c>
      <c r="AG88" s="327" t="str">
        <f t="shared" si="18"/>
        <v/>
      </c>
      <c r="AH88" s="328" t="str">
        <f>IF(AND(SUMIF('Production Data-Daily Input'!$B:$B,"Total "&amp;A88,'Production Data-Daily Input'!$J:$J)=0,SUMIF('Production Data-Weekly input'!$A:$A,A88,'Production Data-Weekly input'!$I:$I)=0),"",IF(SUMIF('Production Data-Daily Input'!$B:$B,"Total "&amp;A88,'Production Data-Daily Input'!$J:$J)&lt;&gt;0,SUMIF('Production Data-Daily Input'!$B:$B,"Total "&amp;A88,'Production Data-Daily Input'!$J:$J),SUMIF('Production Data-Weekly input'!$A:$A,A88,'Production Data-Weekly input'!$I:$I)))</f>
        <v/>
      </c>
    </row>
    <row r="89" spans="1:34" x14ac:dyDescent="0.2">
      <c r="A89" s="514" t="s">
        <v>4</v>
      </c>
      <c r="B89" s="514"/>
      <c r="C89" s="514"/>
      <c r="D89" s="514"/>
      <c r="E89" s="514"/>
      <c r="F89" s="514"/>
      <c r="G89" s="514"/>
      <c r="H89" s="514"/>
      <c r="I89" s="514"/>
      <c r="J89" s="514"/>
      <c r="K89" s="514"/>
      <c r="L89" s="514"/>
      <c r="M89" s="514"/>
      <c r="N89" s="514"/>
      <c r="O89" s="514"/>
      <c r="P89" s="514"/>
      <c r="Q89" s="514"/>
      <c r="R89" s="514"/>
      <c r="S89" s="514"/>
      <c r="T89" s="514"/>
      <c r="U89" s="514"/>
      <c r="V89" s="514"/>
      <c r="W89" s="514"/>
      <c r="X89" s="514"/>
      <c r="Y89" s="514"/>
      <c r="Z89" s="514"/>
      <c r="AA89" s="514"/>
      <c r="AB89" s="514"/>
      <c r="AC89" s="514"/>
      <c r="AD89" s="514"/>
      <c r="AE89" s="514"/>
      <c r="AF89" s="514"/>
      <c r="AG89" s="514"/>
      <c r="AH89" s="514"/>
    </row>
    <row r="90" spans="1:34" x14ac:dyDescent="0.2">
      <c r="A90" s="515" t="s">
        <v>5</v>
      </c>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row>
    <row r="91" spans="1:34" x14ac:dyDescent="0.2">
      <c r="A91" s="515" t="s">
        <v>6</v>
      </c>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row>
    <row r="92" spans="1:34" x14ac:dyDescent="0.2">
      <c r="A92" s="27"/>
      <c r="B92" s="27"/>
      <c r="C92" s="28"/>
      <c r="D92" s="28"/>
      <c r="E92" s="28"/>
      <c r="F92" s="28"/>
      <c r="G92" s="28"/>
      <c r="H92" s="28"/>
      <c r="I92" s="28"/>
      <c r="J92" s="28"/>
      <c r="K92" s="28"/>
      <c r="L92" s="28"/>
      <c r="M92" s="28"/>
      <c r="N92" s="28"/>
      <c r="O92" s="28"/>
      <c r="P92" s="28"/>
      <c r="Q92" s="28"/>
      <c r="R92" s="28"/>
      <c r="S92" s="28"/>
      <c r="T92" s="28"/>
      <c r="U92" s="28"/>
      <c r="V92" s="28"/>
      <c r="W92" s="28"/>
      <c r="X92" s="28"/>
      <c r="Y92" s="28"/>
      <c r="Z92" s="28"/>
      <c r="AA92" s="28"/>
    </row>
    <row r="93" spans="1:34" x14ac:dyDescent="0.2">
      <c r="A93" s="27"/>
      <c r="B93" s="27"/>
      <c r="C93" s="28"/>
      <c r="D93" s="28"/>
      <c r="E93" s="28"/>
      <c r="F93" s="28"/>
      <c r="G93" s="28"/>
      <c r="H93" s="28"/>
      <c r="I93" s="28"/>
      <c r="J93" s="28"/>
      <c r="K93" s="28"/>
      <c r="L93" s="28"/>
      <c r="M93" s="28"/>
      <c r="N93" s="28"/>
      <c r="O93" s="28"/>
      <c r="P93" s="28"/>
      <c r="Q93" s="28"/>
      <c r="R93" s="28"/>
      <c r="S93" s="28"/>
      <c r="T93" s="28"/>
      <c r="U93" s="28"/>
      <c r="V93" s="28"/>
      <c r="W93" s="28"/>
      <c r="X93" s="28"/>
      <c r="Y93" s="28"/>
      <c r="Z93" s="28"/>
      <c r="AA93" s="28"/>
    </row>
    <row r="94" spans="1:34" x14ac:dyDescent="0.2">
      <c r="A94" s="27"/>
      <c r="B94" s="27"/>
    </row>
    <row r="95" spans="1:34" x14ac:dyDescent="0.2">
      <c r="A95" s="27"/>
      <c r="B95" s="27"/>
      <c r="AA95" s="29"/>
    </row>
    <row r="96" spans="1:34" x14ac:dyDescent="0.2">
      <c r="A96" s="27"/>
      <c r="B96" s="27"/>
      <c r="AA96" s="29"/>
    </row>
    <row r="97" spans="1:27" x14ac:dyDescent="0.2">
      <c r="A97" s="27"/>
      <c r="B97" s="27"/>
      <c r="AA97" s="29"/>
    </row>
    <row r="98" spans="1:27" x14ac:dyDescent="0.2">
      <c r="A98" s="27"/>
      <c r="B98" s="27"/>
      <c r="AA98" s="29"/>
    </row>
    <row r="99" spans="1:27" x14ac:dyDescent="0.2">
      <c r="A99" s="27"/>
      <c r="B99" s="27"/>
      <c r="AA99" s="29"/>
    </row>
    <row r="100" spans="1:27" x14ac:dyDescent="0.2">
      <c r="AA100" s="29"/>
    </row>
    <row r="101" spans="1:27" x14ac:dyDescent="0.2">
      <c r="AA101" s="29"/>
    </row>
    <row r="102" spans="1:27" x14ac:dyDescent="0.2">
      <c r="AA102" s="29"/>
    </row>
    <row r="103" spans="1:27" x14ac:dyDescent="0.2">
      <c r="AA103" s="29"/>
    </row>
    <row r="104" spans="1:27" x14ac:dyDescent="0.2">
      <c r="AA104" s="29"/>
    </row>
    <row r="105" spans="1:27" x14ac:dyDescent="0.2">
      <c r="AA105" s="29"/>
    </row>
    <row r="106" spans="1:27" x14ac:dyDescent="0.2">
      <c r="AA106" s="29"/>
    </row>
    <row r="107" spans="1:27" x14ac:dyDescent="0.2">
      <c r="AA107" s="29"/>
    </row>
    <row r="108" spans="1:27" x14ac:dyDescent="0.2">
      <c r="AA108" s="29"/>
    </row>
  </sheetData>
  <sheetProtection password="CECC" sheet="1" objects="1" scenarios="1"/>
  <mergeCells count="25">
    <mergeCell ref="AH10:AH11"/>
    <mergeCell ref="AF11:AG11"/>
    <mergeCell ref="A89:AH89"/>
    <mergeCell ref="A90:AH90"/>
    <mergeCell ref="A91:AH91"/>
    <mergeCell ref="B10:B11"/>
    <mergeCell ref="O11:P12"/>
    <mergeCell ref="Q11:R12"/>
    <mergeCell ref="S11:T12"/>
    <mergeCell ref="A1:AG1"/>
    <mergeCell ref="AB10:AG10"/>
    <mergeCell ref="X11:Z11"/>
    <mergeCell ref="U10:Z10"/>
    <mergeCell ref="M10:T10"/>
    <mergeCell ref="A3:AH3"/>
    <mergeCell ref="C10:F10"/>
    <mergeCell ref="G10:L10"/>
    <mergeCell ref="AB11:AC11"/>
    <mergeCell ref="AD11:AE11"/>
    <mergeCell ref="V5:X5"/>
    <mergeCell ref="V6:X6"/>
    <mergeCell ref="V7:X7"/>
    <mergeCell ref="V8:X8"/>
    <mergeCell ref="A10:A11"/>
    <mergeCell ref="M11:N12"/>
  </mergeCells>
  <conditionalFormatting sqref="H15:H88">
    <cfRule type="cellIs" dxfId="4" priority="5" stopIfTrue="1" operator="equal">
      <formula>#VALUE!</formula>
    </cfRule>
  </conditionalFormatting>
  <conditionalFormatting sqref="Z16:Z88">
    <cfRule type="cellIs" dxfId="3" priority="4" operator="equal">
      <formula>#DIV/0!</formula>
    </cfRule>
  </conditionalFormatting>
  <conditionalFormatting sqref="U15:Z88">
    <cfRule type="cellIs" dxfId="2" priority="3" stopIfTrue="1" operator="equal">
      <formula>#VALUE!</formula>
    </cfRule>
  </conditionalFormatting>
  <conditionalFormatting sqref="AA15:AA88">
    <cfRule type="cellIs" dxfId="1" priority="2" stopIfTrue="1" operator="equal">
      <formula>#DIV/0!</formula>
    </cfRule>
  </conditionalFormatting>
  <conditionalFormatting sqref="V15:V88">
    <cfRule type="cellIs" dxfId="0" priority="1" stopIfTrue="1" operator="equal">
      <formula>FALSE</formula>
    </cfRule>
  </conditionalFormatting>
  <printOptions horizontalCentered="1"/>
  <pageMargins left="0.55118110236220474" right="0.55118110236220474" top="0.70866141732283472" bottom="0.31496062992125984" header="0.31496062992125984" footer="0.31496062992125984"/>
  <pageSetup paperSize="9" scale="30" fitToHeight="0" orientation="landscape" r:id="rId1"/>
  <headerFooter>
    <oddHeader>&amp;L&amp;G&amp;R&amp;G</oddHeader>
  </headerFooter>
  <rowBreaks count="1" manualBreakCount="1">
    <brk id="5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2:L29"/>
  <sheetViews>
    <sheetView showGridLines="0" zoomScaleNormal="100" zoomScaleSheetLayoutView="100" workbookViewId="0">
      <selection activeCell="G28" sqref="G28"/>
    </sheetView>
  </sheetViews>
  <sheetFormatPr baseColWidth="10" defaultRowHeight="12.75" x14ac:dyDescent="0.2"/>
  <cols>
    <col min="1" max="1" width="9" style="176" customWidth="1"/>
    <col min="2" max="3" width="11.42578125" style="176"/>
    <col min="4" max="4" width="15.28515625" style="176" customWidth="1"/>
    <col min="5" max="5" width="17.5703125" style="176" customWidth="1"/>
    <col min="6" max="6" width="13.140625" style="176" customWidth="1"/>
    <col min="7" max="7" width="19.140625" style="176" customWidth="1"/>
    <col min="8" max="9" width="19.5703125" style="176" customWidth="1"/>
    <col min="10" max="10" width="15.140625" style="176" customWidth="1"/>
    <col min="11" max="11" width="12.85546875" style="176" customWidth="1"/>
    <col min="12" max="12" width="14.7109375" style="176" customWidth="1"/>
    <col min="13" max="16384" width="11.42578125" style="176"/>
  </cols>
  <sheetData>
    <row r="2" spans="1:12" ht="27" customHeight="1" x14ac:dyDescent="0.35">
      <c r="A2" s="522"/>
      <c r="B2" s="522"/>
      <c r="C2" s="522"/>
      <c r="D2" s="522"/>
      <c r="E2" s="522"/>
      <c r="F2" s="522"/>
      <c r="G2" s="522"/>
      <c r="H2" s="522"/>
      <c r="I2" s="522"/>
      <c r="J2" s="522"/>
      <c r="K2" s="522"/>
      <c r="L2" s="522"/>
    </row>
    <row r="3" spans="1:12" ht="27" customHeight="1" x14ac:dyDescent="0.35">
      <c r="A3" s="522"/>
      <c r="B3" s="522"/>
      <c r="C3" s="522"/>
      <c r="D3" s="522"/>
      <c r="E3" s="522"/>
      <c r="F3" s="522"/>
      <c r="G3" s="522"/>
      <c r="H3" s="522"/>
      <c r="I3" s="522"/>
      <c r="J3" s="522"/>
      <c r="K3" s="522"/>
      <c r="L3" s="522"/>
    </row>
    <row r="4" spans="1:12" ht="23.25" customHeight="1" x14ac:dyDescent="0.35">
      <c r="A4" s="523"/>
      <c r="B4" s="523"/>
      <c r="C4" s="523"/>
      <c r="D4" s="523"/>
      <c r="E4" s="523"/>
      <c r="F4" s="523"/>
      <c r="G4" s="523"/>
      <c r="H4" s="523"/>
      <c r="I4" s="523"/>
      <c r="J4" s="523"/>
      <c r="K4" s="523"/>
      <c r="L4" s="523"/>
    </row>
    <row r="5" spans="1:12" ht="13.5" thickBot="1" x14ac:dyDescent="0.25">
      <c r="A5" s="224"/>
      <c r="H5" s="225"/>
    </row>
    <row r="6" spans="1:12" ht="15.75" x14ac:dyDescent="0.25">
      <c r="A6" s="131" t="str">
        <f>IF(Data!$C$15="","",VLOOKUP(Data!$C$15,Traduction!$A$2:$BR$13,4,FALSE))</f>
        <v>Pays</v>
      </c>
      <c r="B6" s="132"/>
      <c r="C6" s="132"/>
      <c r="D6" s="524" t="str">
        <f>IF(Data!F31&lt;&gt;"",Data!F31,"")</f>
        <v/>
      </c>
      <c r="E6" s="524"/>
      <c r="F6" s="61" t="str">
        <f>IF(Data!$C$15="","",VLOOKUP(Data!$C$15,Traduction!$A$2:$BR$13,8,FALSE))</f>
        <v>Lignée</v>
      </c>
      <c r="G6" s="132"/>
      <c r="H6" s="132"/>
      <c r="I6" s="132"/>
      <c r="J6" s="524" t="str">
        <f>IF(Data!F36&lt;&gt;"",Data!F36,"")</f>
        <v/>
      </c>
      <c r="K6" s="524"/>
      <c r="L6" s="527"/>
    </row>
    <row r="7" spans="1:12" ht="15.75" x14ac:dyDescent="0.25">
      <c r="A7" s="133" t="str">
        <f>IF(Data!$C$15="","",VLOOKUP(Data!$C$15,Traduction!$A$2:$BR$13,5,FALSE))</f>
        <v>Société</v>
      </c>
      <c r="B7" s="134"/>
      <c r="C7" s="134"/>
      <c r="D7" s="525" t="str">
        <f>IF(Data!F32&lt;&gt;"",Data!F32,"")</f>
        <v/>
      </c>
      <c r="E7" s="525"/>
      <c r="F7" s="62" t="str">
        <f>IF(Data!$C$15="","",VLOOKUP(Data!$C$15,Traduction!$A$2:$BR$13,9,FALSE))</f>
        <v>Nombre</v>
      </c>
      <c r="G7" s="134"/>
      <c r="H7" s="134"/>
      <c r="I7" s="134"/>
      <c r="J7" s="528" t="str">
        <f>IF(Data!F37&lt;&gt;"",Data!F37,"")</f>
        <v/>
      </c>
      <c r="K7" s="528"/>
      <c r="L7" s="529"/>
    </row>
    <row r="8" spans="1:12" ht="15.75" x14ac:dyDescent="0.25">
      <c r="A8" s="133" t="str">
        <f>IF(Data!$C$15="","",VLOOKUP(Data!$C$15,Traduction!$A$2:$BR$13,6,FALSE))</f>
        <v>Ferme</v>
      </c>
      <c r="B8" s="134"/>
      <c r="C8" s="134"/>
      <c r="D8" s="525" t="str">
        <f>IF(Data!F33&lt;&gt;"",Data!F33,"")</f>
        <v/>
      </c>
      <c r="E8" s="525"/>
      <c r="F8" s="62" t="str">
        <f>IF(Data!$C$15="","",VLOOKUP(Data!$C$15,Traduction!$A$2:$BR$13,15,FALSE))</f>
        <v>Date du transfert</v>
      </c>
      <c r="G8" s="134"/>
      <c r="H8" s="134"/>
      <c r="I8" s="134"/>
      <c r="J8" s="530" t="str">
        <f>IF(Data!F38&lt;&gt;"",Data!F38,"")</f>
        <v/>
      </c>
      <c r="K8" s="530"/>
      <c r="L8" s="531"/>
    </row>
    <row r="9" spans="1:12" ht="16.5" thickBot="1" x14ac:dyDescent="0.3">
      <c r="A9" s="135" t="str">
        <f>IF(Data!$C$15="","",VLOOKUP(Data!$C$15,Traduction!$A$2:$BR$13,7,FALSE))</f>
        <v>Poulailler</v>
      </c>
      <c r="B9" s="136"/>
      <c r="C9" s="136"/>
      <c r="D9" s="526" t="str">
        <f>IF(Data!F34&lt;&gt;"",Data!F34,"")</f>
        <v/>
      </c>
      <c r="E9" s="526"/>
      <c r="F9" s="136" t="str">
        <f>IF(Data!$C$15="","",VLOOKUP(Data!$C$15,Traduction!$A$2:$BR$13,16,FALSE))</f>
        <v>Type d'élevage</v>
      </c>
      <c r="G9" s="136"/>
      <c r="H9" s="136"/>
      <c r="I9" s="136"/>
      <c r="J9" s="532" t="str">
        <f>IF(Data!F35&lt;&gt;"",Data!F35,"")</f>
        <v/>
      </c>
      <c r="K9" s="532"/>
      <c r="L9" s="533"/>
    </row>
    <row r="11" spans="1:12" ht="13.5" thickBot="1" x14ac:dyDescent="0.25"/>
    <row r="12" spans="1:12" x14ac:dyDescent="0.2">
      <c r="A12" s="520" t="str">
        <f>IF(Data!$C$15="","",VLOOKUP(Data!$C$15,Traduction!$A$2:$BR$13,18,FALSE))</f>
        <v>Age</v>
      </c>
      <c r="B12" s="458" t="str">
        <f>IF(Data!$C$15="","",VLOOKUP(Data!$C$15,Traduction!$A$2:$BR$13,46,FALSE))</f>
        <v>Viabilité</v>
      </c>
      <c r="C12" s="458" t="str">
        <f>IF(Data!$C$15="","",VLOOKUP(Data!$C$15,Traduction!$A$2:$BR$13,26,FALSE))</f>
        <v>Production</v>
      </c>
      <c r="D12" s="458" t="str">
        <f>IF(Data!$C$15="","",VLOOKUP(Data!$C$15,Traduction!$A$2:$BR$13,59,FALSE))</f>
        <v>Nb d'œufs</v>
      </c>
      <c r="E12" s="458" t="str">
        <f>IF(Data!$C$15="","",VLOOKUP(Data!$C$15,Traduction!$A$2:$BR$13,60,FALSE))</f>
        <v>Nb d'œufs (st)</v>
      </c>
      <c r="F12" s="458" t="str">
        <f>IF(Data!$C$15="","",VLOOKUP(Data!$C$15,Traduction!$A$2:$BR$13,49,FALSE))</f>
        <v>P.M.O.</v>
      </c>
      <c r="G12" s="458" t="str">
        <f>IF(Data!$C$15="","",VLOOKUP(Data!$C$15,Traduction!$A$2:$BR$13,61,FALSE))</f>
        <v>Poids d'œufs (st)</v>
      </c>
      <c r="H12" s="458" t="str">
        <f>IF(Data!$C$15="","",VLOOKUP(Data!$C$15,Traduction!$A$2:$BR$13,51,FALSE))</f>
        <v>Masse cumulée / ♀</v>
      </c>
      <c r="I12" s="458" t="str">
        <f>IF(Data!$C$15="","",VLOOKUP(Data!$C$15,Traduction!$A$2:$BR$13,62,FALSE))</f>
        <v>masse d'œufs (st)</v>
      </c>
      <c r="J12" s="458" t="str">
        <f>IF(Data!$C$15="","",VLOOKUP(Data!$C$15,Traduction!$A$2:$BR$13,63,FALSE))</f>
        <v xml:space="preserve">IC </v>
      </c>
      <c r="K12" s="458" t="str">
        <f>IF(Data!$C$15="","",VLOOKUP(Data!$C$15,Traduction!$A$2:$BR$13,63,FALSE))</f>
        <v xml:space="preserve">IC </v>
      </c>
      <c r="L12" s="485" t="str">
        <f>IF(Data!$C$15="","",VLOOKUP(Data!$C$15,Traduction!$A$2:$BR$13,56,FALSE))</f>
        <v>Déclassés</v>
      </c>
    </row>
    <row r="13" spans="1:12" x14ac:dyDescent="0.2">
      <c r="A13" s="521"/>
      <c r="B13" s="478"/>
      <c r="C13" s="478"/>
      <c r="D13" s="478"/>
      <c r="E13" s="478"/>
      <c r="F13" s="478"/>
      <c r="G13" s="478"/>
      <c r="H13" s="478"/>
      <c r="I13" s="478"/>
      <c r="J13" s="478"/>
      <c r="K13" s="478"/>
      <c r="L13" s="486"/>
    </row>
    <row r="14" spans="1:12" x14ac:dyDescent="0.2">
      <c r="A14" s="383"/>
      <c r="B14" s="384" t="s">
        <v>3</v>
      </c>
      <c r="C14" s="384" t="s">
        <v>3</v>
      </c>
      <c r="D14" s="384" t="str">
        <f>IF(Data!$C$15="","",VLOOKUP(Data!$C$15,Traduction!$A$2:$BZ$13,9,FALSE))</f>
        <v>Nombre</v>
      </c>
      <c r="E14" s="384" t="str">
        <f>IF(Data!$C$15="","",VLOOKUP(Data!$C$15,Traduction!$A$2:$BZ$13,9,FALSE))</f>
        <v>Nombre</v>
      </c>
      <c r="F14" s="384" t="str">
        <f>IF(Data!$C$15="","",VLOOKUP(Data!$C$15,Traduction!$A$2:$BZ$13,75,FALSE))</f>
        <v>g</v>
      </c>
      <c r="G14" s="384" t="str">
        <f>IF(Data!$C$15="","",VLOOKUP(Data!$C$15,Traduction!$A$2:$BZ$13,75,FALSE))</f>
        <v>g</v>
      </c>
      <c r="H14" s="384" t="str">
        <f>IF(Data!$C$15="","",VLOOKUP(Data!$C$15,Traduction!$A$2:$BZ$13,75,FALSE))</f>
        <v>g</v>
      </c>
      <c r="I14" s="384" t="str">
        <f>IF(Data!$C$15="","",VLOOKUP(Data!$C$15,Traduction!$A$2:$BZ$13,75,FALSE))</f>
        <v>g</v>
      </c>
      <c r="J14" s="384" t="str">
        <f>IF(Data!$C$15="","",VLOOKUP(Data!$C$15,Traduction!$A$2:$CZ$13,79,FALSE))</f>
        <v>kg/kg</v>
      </c>
      <c r="K14" s="384" t="str">
        <f>IF(Data!$C$15="","",VLOOKUP(Data!$C$15,Traduction!$A$2:$VZ$13,72,FALSE))</f>
        <v>g/ œuf</v>
      </c>
      <c r="L14" s="385" t="s">
        <v>3</v>
      </c>
    </row>
    <row r="15" spans="1:12" x14ac:dyDescent="0.2">
      <c r="A15" s="386">
        <v>20</v>
      </c>
      <c r="B15" s="387" t="str">
        <f>IF('Production Data-Table'!E18="","",100*'Production Data-Table'!E18)</f>
        <v/>
      </c>
      <c r="C15" s="387" t="str">
        <f>'Production Data-Table'!H18</f>
        <v/>
      </c>
      <c r="D15" s="388" t="str">
        <f>'Production Data-Table'!K18</f>
        <v/>
      </c>
      <c r="E15" s="389" t="str">
        <f>'Production Data-Table'!L18</f>
        <v/>
      </c>
      <c r="F15" s="388" t="str">
        <f>'Production Data-Table'!M18</f>
        <v/>
      </c>
      <c r="G15" s="389" t="str">
        <f>'Production Data-Table'!N18</f>
        <v/>
      </c>
      <c r="H15" s="173" t="str">
        <f>IF('Production Data-Table'!Q18=0,"",'Production Data-Table'!Q18)</f>
        <v/>
      </c>
      <c r="I15" s="436" t="str">
        <f>IF('Production Data-Table'!R18=0,"",'Production Data-Table'!R18)</f>
        <v/>
      </c>
      <c r="J15" s="387" t="str">
        <f>IF('Production Data-Table'!Z18=0,"",'Production Data-Table'!Z18)</f>
        <v/>
      </c>
      <c r="K15" s="388" t="str">
        <f>IF('Production Data-Table'!Y18=0,"",'Production Data-Table'!Y18)</f>
        <v/>
      </c>
      <c r="L15" s="390" t="str">
        <f>IF('Production Data-Table'!AG18="","",'Production Data-Table'!AG18*100)</f>
        <v/>
      </c>
    </row>
    <row r="16" spans="1:12" x14ac:dyDescent="0.2">
      <c r="A16" s="386">
        <v>25</v>
      </c>
      <c r="B16" s="387" t="str">
        <f>IF('Production Data-Table'!E23="","",100*'Production Data-Table'!E23)</f>
        <v/>
      </c>
      <c r="C16" s="387" t="str">
        <f>'Production Data-Table'!H23</f>
        <v/>
      </c>
      <c r="D16" s="388" t="str">
        <f>'Production Data-Table'!K23</f>
        <v/>
      </c>
      <c r="E16" s="389" t="str">
        <f>'Production Data-Table'!L23</f>
        <v/>
      </c>
      <c r="F16" s="388" t="str">
        <f>'Production Data-Table'!M23</f>
        <v/>
      </c>
      <c r="G16" s="389" t="str">
        <f>'Production Data-Table'!N23</f>
        <v/>
      </c>
      <c r="H16" s="173" t="str">
        <f>IF('Production Data-Table'!Q23=0,"",'Production Data-Table'!Q23)</f>
        <v/>
      </c>
      <c r="I16" s="436" t="str">
        <f>IF('Production Data-Table'!R23=0,"",'Production Data-Table'!R23)</f>
        <v/>
      </c>
      <c r="J16" s="387" t="str">
        <f>IF('Production Data-Table'!Z23=0,"",'Production Data-Table'!Z23)</f>
        <v/>
      </c>
      <c r="K16" s="388" t="str">
        <f>IF('Production Data-Table'!Y23=0,"",'Production Data-Table'!Y23)</f>
        <v/>
      </c>
      <c r="L16" s="390" t="str">
        <f>IF('Production Data-Table'!AG23="","",'Production Data-Table'!AG23*100)</f>
        <v/>
      </c>
    </row>
    <row r="17" spans="1:12" x14ac:dyDescent="0.2">
      <c r="A17" s="386">
        <v>30</v>
      </c>
      <c r="B17" s="387" t="str">
        <f>IF('Production Data-Table'!E28="","",100*'Production Data-Table'!E28)</f>
        <v/>
      </c>
      <c r="C17" s="387" t="str">
        <f>'Production Data-Table'!H28</f>
        <v/>
      </c>
      <c r="D17" s="388" t="str">
        <f>'Production Data-Table'!K28</f>
        <v/>
      </c>
      <c r="E17" s="389" t="str">
        <f>'Production Data-Table'!L28</f>
        <v/>
      </c>
      <c r="F17" s="388" t="str">
        <f>'Production Data-Table'!M28</f>
        <v/>
      </c>
      <c r="G17" s="389" t="str">
        <f>'Production Data-Table'!N28</f>
        <v/>
      </c>
      <c r="H17" s="173" t="str">
        <f>IF('Production Data-Table'!Q28=0,"",'Production Data-Table'!Q28)</f>
        <v/>
      </c>
      <c r="I17" s="436" t="str">
        <f>IF('Production Data-Table'!R28=0,"",'Production Data-Table'!R28)</f>
        <v/>
      </c>
      <c r="J17" s="387" t="str">
        <f>IF('Production Data-Table'!Z28=0,"",'Production Data-Table'!Z28)</f>
        <v/>
      </c>
      <c r="K17" s="388" t="str">
        <f>IF('Production Data-Table'!Y28=0,"",'Production Data-Table'!Y28)</f>
        <v/>
      </c>
      <c r="L17" s="390" t="str">
        <f>IF('Production Data-Table'!AG28="","",'Production Data-Table'!AG28*100)</f>
        <v/>
      </c>
    </row>
    <row r="18" spans="1:12" x14ac:dyDescent="0.2">
      <c r="A18" s="386">
        <v>35</v>
      </c>
      <c r="B18" s="387" t="str">
        <f>IF('Production Data-Table'!E33="","",100*'Production Data-Table'!E33)</f>
        <v/>
      </c>
      <c r="C18" s="387" t="str">
        <f>'Production Data-Table'!H33</f>
        <v/>
      </c>
      <c r="D18" s="388" t="str">
        <f>'Production Data-Table'!K33</f>
        <v/>
      </c>
      <c r="E18" s="389" t="str">
        <f>'Production Data-Table'!L33</f>
        <v/>
      </c>
      <c r="F18" s="388" t="str">
        <f>'Production Data-Table'!M33</f>
        <v/>
      </c>
      <c r="G18" s="389" t="str">
        <f>'Production Data-Table'!N33</f>
        <v/>
      </c>
      <c r="H18" s="173" t="str">
        <f>IF('Production Data-Table'!Q33=0,"",'Production Data-Table'!Q33)</f>
        <v/>
      </c>
      <c r="I18" s="436" t="str">
        <f>IF('Production Data-Table'!R33=0,"",'Production Data-Table'!R33)</f>
        <v/>
      </c>
      <c r="J18" s="387" t="str">
        <f>IF('Production Data-Table'!Z33=0,"",'Production Data-Table'!Z33)</f>
        <v/>
      </c>
      <c r="K18" s="388" t="str">
        <f>IF('Production Data-Table'!Y33=0,"",'Production Data-Table'!Y33)</f>
        <v/>
      </c>
      <c r="L18" s="390" t="str">
        <f>IF('Production Data-Table'!AG33="","",'Production Data-Table'!AG33*100)</f>
        <v/>
      </c>
    </row>
    <row r="19" spans="1:12" x14ac:dyDescent="0.2">
      <c r="A19" s="386">
        <v>40</v>
      </c>
      <c r="B19" s="387" t="str">
        <f>IF('Production Data-Table'!E38="","",100*'Production Data-Table'!E38)</f>
        <v/>
      </c>
      <c r="C19" s="387" t="str">
        <f>'Production Data-Table'!H38</f>
        <v/>
      </c>
      <c r="D19" s="388" t="str">
        <f>'Production Data-Table'!K38</f>
        <v/>
      </c>
      <c r="E19" s="389" t="str">
        <f>'Production Data-Table'!L38</f>
        <v/>
      </c>
      <c r="F19" s="388" t="str">
        <f>'Production Data-Table'!M38</f>
        <v/>
      </c>
      <c r="G19" s="389" t="str">
        <f>'Production Data-Table'!N38</f>
        <v/>
      </c>
      <c r="H19" s="173" t="str">
        <f>IF('Production Data-Table'!Q38=0,"",'Production Data-Table'!Q38)</f>
        <v/>
      </c>
      <c r="I19" s="436" t="str">
        <f>IF('Production Data-Table'!R38=0,"",'Production Data-Table'!R38)</f>
        <v/>
      </c>
      <c r="J19" s="387" t="str">
        <f>IF('Production Data-Table'!Z38=0,"",'Production Data-Table'!Z38)</f>
        <v/>
      </c>
      <c r="K19" s="388" t="str">
        <f>IF('Production Data-Table'!Y38=0,"",'Production Data-Table'!Y38)</f>
        <v/>
      </c>
      <c r="L19" s="390" t="str">
        <f>IF('Production Data-Table'!AG38="","",'Production Data-Table'!AG38*100)</f>
        <v/>
      </c>
    </row>
    <row r="20" spans="1:12" x14ac:dyDescent="0.2">
      <c r="A20" s="386">
        <v>45</v>
      </c>
      <c r="B20" s="387" t="str">
        <f>IF('Production Data-Table'!E43="","",100*'Production Data-Table'!E43)</f>
        <v/>
      </c>
      <c r="C20" s="387" t="str">
        <f>'Production Data-Table'!H43</f>
        <v/>
      </c>
      <c r="D20" s="388" t="str">
        <f>'Production Data-Table'!K43</f>
        <v/>
      </c>
      <c r="E20" s="389" t="str">
        <f>'Production Data-Table'!L43</f>
        <v/>
      </c>
      <c r="F20" s="388" t="str">
        <f>'Production Data-Table'!M43</f>
        <v/>
      </c>
      <c r="G20" s="389" t="str">
        <f>'Production Data-Table'!N43</f>
        <v/>
      </c>
      <c r="H20" s="173" t="str">
        <f>IF('Production Data-Table'!Q43=0,"",'Production Data-Table'!Q43)</f>
        <v/>
      </c>
      <c r="I20" s="436" t="str">
        <f>IF('Production Data-Table'!R43=0,"",'Production Data-Table'!R43)</f>
        <v/>
      </c>
      <c r="J20" s="387" t="str">
        <f>IF('Production Data-Table'!Z43=0,"",'Production Data-Table'!Z43)</f>
        <v/>
      </c>
      <c r="K20" s="388" t="str">
        <f>IF('Production Data-Table'!Y43=0,"",'Production Data-Table'!Y43)</f>
        <v/>
      </c>
      <c r="L20" s="390" t="str">
        <f>IF('Production Data-Table'!AG43="","",'Production Data-Table'!AG43*100)</f>
        <v/>
      </c>
    </row>
    <row r="21" spans="1:12" x14ac:dyDescent="0.2">
      <c r="A21" s="386">
        <v>50</v>
      </c>
      <c r="B21" s="387" t="str">
        <f>IF('Production Data-Table'!E48="","",100*'Production Data-Table'!E48)</f>
        <v/>
      </c>
      <c r="C21" s="387" t="str">
        <f>'Production Data-Table'!H48</f>
        <v/>
      </c>
      <c r="D21" s="388" t="str">
        <f>'Production Data-Table'!K48</f>
        <v/>
      </c>
      <c r="E21" s="389" t="str">
        <f>'Production Data-Table'!L48</f>
        <v/>
      </c>
      <c r="F21" s="388" t="str">
        <f>'Production Data-Table'!M48</f>
        <v/>
      </c>
      <c r="G21" s="389" t="str">
        <f>'Production Data-Table'!N48</f>
        <v/>
      </c>
      <c r="H21" s="173" t="str">
        <f>IF('Production Data-Table'!Q48=0,"",'Production Data-Table'!Q48)</f>
        <v/>
      </c>
      <c r="I21" s="436" t="str">
        <f>IF('Production Data-Table'!R48=0,"",'Production Data-Table'!R48)</f>
        <v/>
      </c>
      <c r="J21" s="387" t="str">
        <f>IF('Production Data-Table'!Z48=0,"",'Production Data-Table'!Z48)</f>
        <v/>
      </c>
      <c r="K21" s="388" t="str">
        <f>IF('Production Data-Table'!Y48=0,"",'Production Data-Table'!Y48)</f>
        <v/>
      </c>
      <c r="L21" s="390" t="str">
        <f>IF('Production Data-Table'!AG48="","",'Production Data-Table'!AG48*100)</f>
        <v/>
      </c>
    </row>
    <row r="22" spans="1:12" x14ac:dyDescent="0.2">
      <c r="A22" s="386">
        <v>55</v>
      </c>
      <c r="B22" s="387" t="str">
        <f>IF('Production Data-Table'!E53="","",100*'Production Data-Table'!E53)</f>
        <v/>
      </c>
      <c r="C22" s="387" t="str">
        <f>'Production Data-Table'!H53</f>
        <v/>
      </c>
      <c r="D22" s="388" t="str">
        <f>'Production Data-Table'!K53</f>
        <v/>
      </c>
      <c r="E22" s="389" t="str">
        <f>'Production Data-Table'!L53</f>
        <v/>
      </c>
      <c r="F22" s="388" t="str">
        <f>'Production Data-Table'!M53</f>
        <v/>
      </c>
      <c r="G22" s="389" t="str">
        <f>'Production Data-Table'!N53</f>
        <v/>
      </c>
      <c r="H22" s="173" t="str">
        <f>IF('Production Data-Table'!Q53=0,"",'Production Data-Table'!Q53)</f>
        <v/>
      </c>
      <c r="I22" s="436" t="str">
        <f>IF('Production Data-Table'!R53=0,"",'Production Data-Table'!R53)</f>
        <v/>
      </c>
      <c r="J22" s="387" t="str">
        <f>IF('Production Data-Table'!Z53=0,"",'Production Data-Table'!Z53)</f>
        <v/>
      </c>
      <c r="K22" s="388" t="str">
        <f>IF('Production Data-Table'!Y53=0,"",'Production Data-Table'!Y53)</f>
        <v/>
      </c>
      <c r="L22" s="390" t="str">
        <f>IF('Production Data-Table'!AG53="","",'Production Data-Table'!AG53*100)</f>
        <v/>
      </c>
    </row>
    <row r="23" spans="1:12" x14ac:dyDescent="0.2">
      <c r="A23" s="386">
        <v>60</v>
      </c>
      <c r="B23" s="387" t="str">
        <f>IF('Production Data-Table'!E58="","",100*'Production Data-Table'!E58)</f>
        <v/>
      </c>
      <c r="C23" s="387" t="str">
        <f>'Production Data-Table'!H58</f>
        <v/>
      </c>
      <c r="D23" s="388" t="str">
        <f>'Production Data-Table'!K58</f>
        <v/>
      </c>
      <c r="E23" s="389" t="str">
        <f>'Production Data-Table'!L58</f>
        <v/>
      </c>
      <c r="F23" s="388" t="str">
        <f>'Production Data-Table'!M58</f>
        <v/>
      </c>
      <c r="G23" s="389" t="str">
        <f>'Production Data-Table'!N58</f>
        <v/>
      </c>
      <c r="H23" s="173" t="str">
        <f>IF('Production Data-Table'!Q58=0,"",'Production Data-Table'!Q58)</f>
        <v/>
      </c>
      <c r="I23" s="436" t="str">
        <f>IF('Production Data-Table'!R58=0,"",'Production Data-Table'!R58)</f>
        <v/>
      </c>
      <c r="J23" s="387" t="str">
        <f>IF('Production Data-Table'!Z58=0,"",'Production Data-Table'!Z58)</f>
        <v/>
      </c>
      <c r="K23" s="388" t="str">
        <f>IF('Production Data-Table'!Y58=0,"",'Production Data-Table'!Y58)</f>
        <v/>
      </c>
      <c r="L23" s="390" t="str">
        <f>IF('Production Data-Table'!AG58="","",'Production Data-Table'!AG58*100)</f>
        <v/>
      </c>
    </row>
    <row r="24" spans="1:12" x14ac:dyDescent="0.2">
      <c r="A24" s="386">
        <v>65</v>
      </c>
      <c r="B24" s="387" t="str">
        <f>IF('Production Data-Table'!E63="","",100*'Production Data-Table'!E63)</f>
        <v/>
      </c>
      <c r="C24" s="387" t="str">
        <f>'Production Data-Table'!H63</f>
        <v/>
      </c>
      <c r="D24" s="388" t="str">
        <f>'Production Data-Table'!K63</f>
        <v/>
      </c>
      <c r="E24" s="389" t="str">
        <f>'Production Data-Table'!L63</f>
        <v/>
      </c>
      <c r="F24" s="388" t="str">
        <f>'Production Data-Table'!M63</f>
        <v/>
      </c>
      <c r="G24" s="389" t="str">
        <f>'Production Data-Table'!N63</f>
        <v/>
      </c>
      <c r="H24" s="173" t="str">
        <f>IF('Production Data-Table'!Q63=0,"",'Production Data-Table'!Q63)</f>
        <v/>
      </c>
      <c r="I24" s="436" t="str">
        <f>IF('Production Data-Table'!R63=0,"",'Production Data-Table'!R63)</f>
        <v/>
      </c>
      <c r="J24" s="387" t="str">
        <f>IF('Production Data-Table'!Z63=0,"",'Production Data-Table'!Z63)</f>
        <v/>
      </c>
      <c r="K24" s="388" t="str">
        <f>IF('Production Data-Table'!Y63=0,"",'Production Data-Table'!Y63)</f>
        <v/>
      </c>
      <c r="L24" s="390" t="str">
        <f>IF('Production Data-Table'!AG63="","",'Production Data-Table'!AG63*100)</f>
        <v/>
      </c>
    </row>
    <row r="25" spans="1:12" x14ac:dyDescent="0.2">
      <c r="A25" s="386">
        <v>70</v>
      </c>
      <c r="B25" s="387" t="str">
        <f>IF('Production Data-Table'!E68="","",100*'Production Data-Table'!E68)</f>
        <v/>
      </c>
      <c r="C25" s="387" t="str">
        <f>'Production Data-Table'!H68</f>
        <v/>
      </c>
      <c r="D25" s="388" t="str">
        <f>'Production Data-Table'!K68</f>
        <v/>
      </c>
      <c r="E25" s="389" t="str">
        <f>'Production Data-Table'!L68</f>
        <v/>
      </c>
      <c r="F25" s="388" t="str">
        <f>'Production Data-Table'!M68</f>
        <v/>
      </c>
      <c r="G25" s="389" t="str">
        <f>'Production Data-Table'!N68</f>
        <v/>
      </c>
      <c r="H25" s="173" t="str">
        <f>IF('Production Data-Table'!Q68=0,"",'Production Data-Table'!Q68)</f>
        <v/>
      </c>
      <c r="I25" s="436" t="str">
        <f>IF('Production Data-Table'!R68=0,"",'Production Data-Table'!R68)</f>
        <v/>
      </c>
      <c r="J25" s="387" t="str">
        <f>IF('Production Data-Table'!Z68=0,"",'Production Data-Table'!Z68)</f>
        <v/>
      </c>
      <c r="K25" s="388" t="str">
        <f>IF('Production Data-Table'!Y68=0,"",'Production Data-Table'!Y68)</f>
        <v/>
      </c>
      <c r="L25" s="390" t="str">
        <f>IF('Production Data-Table'!AG68="","",'Production Data-Table'!AG68*100)</f>
        <v/>
      </c>
    </row>
    <row r="26" spans="1:12" x14ac:dyDescent="0.2">
      <c r="A26" s="386">
        <v>75</v>
      </c>
      <c r="B26" s="387" t="str">
        <f>IF('Production Data-Table'!E73="","",100*'Production Data-Table'!E73)</f>
        <v/>
      </c>
      <c r="C26" s="387" t="str">
        <f>'Production Data-Table'!H73</f>
        <v/>
      </c>
      <c r="D26" s="388" t="str">
        <f>'Production Data-Table'!K73</f>
        <v/>
      </c>
      <c r="E26" s="389" t="str">
        <f>'Production Data-Table'!L73</f>
        <v/>
      </c>
      <c r="F26" s="388" t="str">
        <f>'Production Data-Table'!M73</f>
        <v/>
      </c>
      <c r="G26" s="389" t="str">
        <f>'Production Data-Table'!N73</f>
        <v/>
      </c>
      <c r="H26" s="173" t="str">
        <f>IF('Production Data-Table'!Q73=0,"",'Production Data-Table'!Q73)</f>
        <v/>
      </c>
      <c r="I26" s="436" t="str">
        <f>IF('Production Data-Table'!R73=0,"",'Production Data-Table'!R73)</f>
        <v/>
      </c>
      <c r="J26" s="387" t="str">
        <f>IF('Production Data-Table'!Z73=0,"",'Production Data-Table'!Z73)</f>
        <v/>
      </c>
      <c r="K26" s="388" t="str">
        <f>IF('Production Data-Table'!Y73=0,"",'Production Data-Table'!Y73)</f>
        <v/>
      </c>
      <c r="L26" s="390" t="str">
        <f>IF('Production Data-Table'!AG73="","",'Production Data-Table'!AG73*100)</f>
        <v/>
      </c>
    </row>
    <row r="27" spans="1:12" x14ac:dyDescent="0.2">
      <c r="A27" s="386">
        <v>80</v>
      </c>
      <c r="B27" s="387" t="str">
        <f>IF('Production Data-Table'!E78="","",100*'Production Data-Table'!E78)</f>
        <v/>
      </c>
      <c r="C27" s="387" t="str">
        <f>'Production Data-Table'!H78</f>
        <v/>
      </c>
      <c r="D27" s="388" t="str">
        <f>'Production Data-Table'!K78</f>
        <v/>
      </c>
      <c r="E27" s="389" t="str">
        <f>'Production Data-Table'!L78</f>
        <v/>
      </c>
      <c r="F27" s="388" t="str">
        <f>'Production Data-Table'!M78</f>
        <v/>
      </c>
      <c r="G27" s="389" t="str">
        <f>'Production Data-Table'!N78</f>
        <v/>
      </c>
      <c r="H27" s="173" t="str">
        <f>IF('Production Data-Table'!Q78=0,"",'Production Data-Table'!Q78)</f>
        <v/>
      </c>
      <c r="I27" s="436" t="str">
        <f>IF('Production Data-Table'!R78=0,"",'Production Data-Table'!R78)</f>
        <v/>
      </c>
      <c r="J27" s="387" t="str">
        <f>IF('Production Data-Table'!Z78=0,"",'Production Data-Table'!Z78)</f>
        <v/>
      </c>
      <c r="K27" s="388" t="str">
        <f>IF('Production Data-Table'!Y78=0,"",'Production Data-Table'!Y78)</f>
        <v/>
      </c>
      <c r="L27" s="390" t="str">
        <f>IF('Production Data-Table'!AG78="","",'Production Data-Table'!AG78*100)</f>
        <v/>
      </c>
    </row>
    <row r="28" spans="1:12" x14ac:dyDescent="0.2">
      <c r="A28" s="386">
        <v>85</v>
      </c>
      <c r="B28" s="387" t="str">
        <f>IF('Production Data-Table'!E83="","",100*'Production Data-Table'!E83)</f>
        <v/>
      </c>
      <c r="C28" s="387" t="str">
        <f>'Production Data-Table'!H83</f>
        <v/>
      </c>
      <c r="D28" s="388" t="str">
        <f>'Production Data-Table'!K83</f>
        <v/>
      </c>
      <c r="E28" s="389" t="str">
        <f>'Production Data-Table'!L83</f>
        <v/>
      </c>
      <c r="F28" s="388" t="str">
        <f>'Production Data-Table'!M83</f>
        <v/>
      </c>
      <c r="G28" s="389" t="str">
        <f>'Production Data-Table'!N83</f>
        <v/>
      </c>
      <c r="H28" s="173" t="str">
        <f>IF('Production Data-Table'!Q83=0,"",'Production Data-Table'!Q83)</f>
        <v/>
      </c>
      <c r="I28" s="436" t="str">
        <f>IF('Production Data-Table'!R83=0,"",'Production Data-Table'!R83)</f>
        <v/>
      </c>
      <c r="J28" s="387" t="str">
        <f>IF('Production Data-Table'!Z83=0,"",'Production Data-Table'!Z83)</f>
        <v/>
      </c>
      <c r="K28" s="388" t="str">
        <f>IF('Production Data-Table'!Y83=0,"",'Production Data-Table'!Y83)</f>
        <v/>
      </c>
      <c r="L28" s="390" t="str">
        <f>IF('Production Data-Table'!AG83="","",'Production Data-Table'!AG83*100)</f>
        <v/>
      </c>
    </row>
    <row r="29" spans="1:12" ht="13.5" thickBot="1" x14ac:dyDescent="0.25">
      <c r="A29" s="391">
        <v>90</v>
      </c>
      <c r="B29" s="392" t="str">
        <f>IF('Production Data-Table'!E88="","",100*'Production Data-Table'!E88)</f>
        <v/>
      </c>
      <c r="C29" s="392" t="str">
        <f>'Production Data-Table'!H88</f>
        <v/>
      </c>
      <c r="D29" s="393" t="str">
        <f>'Production Data-Table'!K88</f>
        <v/>
      </c>
      <c r="E29" s="394" t="str">
        <f>'Production Data-Table'!L88</f>
        <v/>
      </c>
      <c r="F29" s="393" t="str">
        <f>'Production Data-Table'!M88</f>
        <v/>
      </c>
      <c r="G29" s="394" t="str">
        <f>'Production Data-Table'!N88</f>
        <v/>
      </c>
      <c r="H29" s="395" t="str">
        <f>IF('Production Data-Table'!Q88=0,"",'Production Data-Table'!Q88)</f>
        <v/>
      </c>
      <c r="I29" s="437" t="str">
        <f>IF('Production Data-Table'!R88=0,"",'Production Data-Table'!R88)</f>
        <v/>
      </c>
      <c r="J29" s="392" t="str">
        <f>IF('Production Data-Table'!Z88=0,"",'Production Data-Table'!Z88)</f>
        <v/>
      </c>
      <c r="K29" s="393" t="str">
        <f>IF('Production Data-Table'!Y88=0,"",'Production Data-Table'!Y88)</f>
        <v/>
      </c>
      <c r="L29" s="396" t="str">
        <f>IF('Production Data-Table'!AG88="","",'Production Data-Table'!AG88*100)</f>
        <v/>
      </c>
    </row>
  </sheetData>
  <sheetProtection password="CECC" sheet="1" objects="1" scenarios="1"/>
  <mergeCells count="23">
    <mergeCell ref="D9:E9"/>
    <mergeCell ref="J6:L6"/>
    <mergeCell ref="J7:L7"/>
    <mergeCell ref="J8:L8"/>
    <mergeCell ref="J9:L9"/>
    <mergeCell ref="D8:E8"/>
    <mergeCell ref="A2:L2"/>
    <mergeCell ref="A3:L3"/>
    <mergeCell ref="A4:L4"/>
    <mergeCell ref="D6:E6"/>
    <mergeCell ref="D7:E7"/>
    <mergeCell ref="L12:L13"/>
    <mergeCell ref="A12:A13"/>
    <mergeCell ref="G12:G13"/>
    <mergeCell ref="H12:H13"/>
    <mergeCell ref="I12:I13"/>
    <mergeCell ref="J12:J13"/>
    <mergeCell ref="K12:K13"/>
    <mergeCell ref="B12:B13"/>
    <mergeCell ref="C12:C13"/>
    <mergeCell ref="D12:D13"/>
    <mergeCell ref="E12:E13"/>
    <mergeCell ref="F12:F13"/>
  </mergeCells>
  <printOptions horizontalCentered="1"/>
  <pageMargins left="0.25" right="0.25" top="0.75" bottom="0.75" header="0.3" footer="0.3"/>
  <pageSetup paperSize="9" scale="80" orientation="landscape" verticalDpi="300" r:id="rId1"/>
  <headerFooter>
    <oddHeader>&amp;L&amp;G&amp;C
&amp;R&amp;G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4:V153"/>
  <sheetViews>
    <sheetView workbookViewId="0">
      <selection activeCell="H13" sqref="H13"/>
    </sheetView>
  </sheetViews>
  <sheetFormatPr baseColWidth="10" defaultRowHeight="12.75" x14ac:dyDescent="0.2"/>
  <cols>
    <col min="1" max="16384" width="11.42578125" style="72"/>
  </cols>
  <sheetData>
    <row r="4" spans="1:22" x14ac:dyDescent="0.2">
      <c r="B4" s="73" t="s">
        <v>137</v>
      </c>
    </row>
    <row r="5" spans="1:22" x14ac:dyDescent="0.2">
      <c r="A5" s="70" t="s">
        <v>100</v>
      </c>
      <c r="B5" s="70"/>
      <c r="C5" s="70" t="s">
        <v>139</v>
      </c>
      <c r="D5" s="70" t="s">
        <v>140</v>
      </c>
      <c r="E5" s="70" t="s">
        <v>141</v>
      </c>
      <c r="F5" s="70" t="s">
        <v>142</v>
      </c>
      <c r="G5" s="70" t="s">
        <v>143</v>
      </c>
      <c r="H5" s="70" t="s">
        <v>144</v>
      </c>
      <c r="I5" s="70" t="s">
        <v>107</v>
      </c>
      <c r="J5" s="70" t="s">
        <v>145</v>
      </c>
      <c r="K5" s="70" t="s">
        <v>146</v>
      </c>
      <c r="L5" s="70" t="s">
        <v>147</v>
      </c>
      <c r="M5" s="70" t="s">
        <v>148</v>
      </c>
      <c r="N5" s="70" t="s">
        <v>138</v>
      </c>
      <c r="P5" s="6" t="s">
        <v>7</v>
      </c>
      <c r="Q5" s="6" t="s">
        <v>8</v>
      </c>
      <c r="S5" s="76" t="s">
        <v>244</v>
      </c>
      <c r="T5" s="76" t="s">
        <v>245</v>
      </c>
      <c r="U5" s="76" t="s">
        <v>246</v>
      </c>
      <c r="V5" s="76" t="s">
        <v>246</v>
      </c>
    </row>
    <row r="6" spans="1:22" x14ac:dyDescent="0.2">
      <c r="A6" s="71">
        <v>1</v>
      </c>
      <c r="B6" s="7">
        <v>0</v>
      </c>
      <c r="C6" s="74" t="e">
        <f t="shared" ref="C6:G15" si="0">IF((D6*0.994)&lt;$P6,$P6,D6*0.994)</f>
        <v>#DIV/0!</v>
      </c>
      <c r="D6" s="74" t="e">
        <f t="shared" si="0"/>
        <v>#DIV/0!</v>
      </c>
      <c r="E6" s="74" t="e">
        <f t="shared" si="0"/>
        <v>#DIV/0!</v>
      </c>
      <c r="F6" s="74" t="e">
        <f t="shared" si="0"/>
        <v>#DIV/0!</v>
      </c>
      <c r="G6" s="74" t="e">
        <f t="shared" si="0"/>
        <v>#DIV/0!</v>
      </c>
      <c r="H6" s="75" t="e">
        <f>AVERAGE(P6:Q6)</f>
        <v>#DIV/0!</v>
      </c>
      <c r="I6" s="74" t="e">
        <f t="shared" ref="I6:M15" si="1">IF((H6*1.006)&gt;$Q6,$Q6,H6*1.006)</f>
        <v>#DIV/0!</v>
      </c>
      <c r="J6" s="74" t="e">
        <f t="shared" si="1"/>
        <v>#DIV/0!</v>
      </c>
      <c r="K6" s="74" t="e">
        <f t="shared" si="1"/>
        <v>#DIV/0!</v>
      </c>
      <c r="L6" s="74" t="e">
        <f t="shared" si="1"/>
        <v>#DIV/0!</v>
      </c>
      <c r="M6" s="74" t="e">
        <f t="shared" si="1"/>
        <v>#DIV/0!</v>
      </c>
      <c r="N6" s="72" t="e">
        <f>IF('Growing data-Input'!E17&gt;0,'Growing data-Input'!E17,#N/A)</f>
        <v>#N/A</v>
      </c>
      <c r="P6" s="78" t="str">
        <f>VLOOKUP($A6,$R$6:$T$24,2,FALSE)</f>
        <v/>
      </c>
      <c r="Q6" s="78" t="str">
        <f>VLOOKUP($A6,$R$6:$T$24,3,FALSE)</f>
        <v/>
      </c>
      <c r="R6" s="72">
        <v>1</v>
      </c>
      <c r="S6" s="77" t="str">
        <f>Standard!P8</f>
        <v/>
      </c>
      <c r="T6" s="77" t="str">
        <f>Standard!Q8</f>
        <v/>
      </c>
      <c r="U6" s="77"/>
      <c r="V6" s="77"/>
    </row>
    <row r="7" spans="1:22" x14ac:dyDescent="0.2">
      <c r="A7" s="71">
        <v>2</v>
      </c>
      <c r="B7" s="7">
        <f>1/7</f>
        <v>0.14285714285714285</v>
      </c>
      <c r="C7" s="74" t="e">
        <f t="shared" si="0"/>
        <v>#VALUE!</v>
      </c>
      <c r="D7" s="74" t="e">
        <f t="shared" si="0"/>
        <v>#VALUE!</v>
      </c>
      <c r="E7" s="74" t="e">
        <f t="shared" si="0"/>
        <v>#VALUE!</v>
      </c>
      <c r="F7" s="74" t="e">
        <f t="shared" si="0"/>
        <v>#VALUE!</v>
      </c>
      <c r="G7" s="74" t="e">
        <f t="shared" si="0"/>
        <v>#VALUE!</v>
      </c>
      <c r="H7" s="75" t="e">
        <f t="shared" ref="H7:H70" si="2">AVERAGE(P7:Q7)</f>
        <v>#VALUE!</v>
      </c>
      <c r="I7" s="74" t="e">
        <f t="shared" si="1"/>
        <v>#VALUE!</v>
      </c>
      <c r="J7" s="74" t="e">
        <f t="shared" si="1"/>
        <v>#VALUE!</v>
      </c>
      <c r="K7" s="74" t="e">
        <f t="shared" si="1"/>
        <v>#VALUE!</v>
      </c>
      <c r="L7" s="74" t="e">
        <f t="shared" si="1"/>
        <v>#VALUE!</v>
      </c>
      <c r="M7" s="74" t="e">
        <f t="shared" si="1"/>
        <v>#VALUE!</v>
      </c>
      <c r="N7" s="72" t="e">
        <f>IF('Growing data-Input'!E18&gt;0,'Growing data-Input'!E18,#N/A)</f>
        <v>#N/A</v>
      </c>
      <c r="P7" s="78" t="e">
        <f t="shared" ref="P7:Q11" si="3">P6+$U$7/6</f>
        <v>#VALUE!</v>
      </c>
      <c r="Q7" s="78" t="e">
        <f t="shared" si="3"/>
        <v>#VALUE!</v>
      </c>
      <c r="R7" s="72">
        <v>7</v>
      </c>
      <c r="S7" s="77" t="str">
        <f>Standard!P9</f>
        <v/>
      </c>
      <c r="T7" s="77" t="str">
        <f>Standard!Q9</f>
        <v/>
      </c>
      <c r="U7" s="77" t="e">
        <f>S7-S6</f>
        <v>#VALUE!</v>
      </c>
      <c r="V7" s="77" t="e">
        <f>T7-T6</f>
        <v>#VALUE!</v>
      </c>
    </row>
    <row r="8" spans="1:22" x14ac:dyDescent="0.2">
      <c r="A8" s="71">
        <v>3</v>
      </c>
      <c r="B8" s="7">
        <f>B7+1/7</f>
        <v>0.2857142857142857</v>
      </c>
      <c r="C8" s="74" t="e">
        <f t="shared" si="0"/>
        <v>#VALUE!</v>
      </c>
      <c r="D8" s="74" t="e">
        <f t="shared" si="0"/>
        <v>#VALUE!</v>
      </c>
      <c r="E8" s="74" t="e">
        <f t="shared" si="0"/>
        <v>#VALUE!</v>
      </c>
      <c r="F8" s="74" t="e">
        <f t="shared" si="0"/>
        <v>#VALUE!</v>
      </c>
      <c r="G8" s="74" t="e">
        <f t="shared" si="0"/>
        <v>#VALUE!</v>
      </c>
      <c r="H8" s="75" t="e">
        <f t="shared" si="2"/>
        <v>#VALUE!</v>
      </c>
      <c r="I8" s="74" t="e">
        <f t="shared" si="1"/>
        <v>#VALUE!</v>
      </c>
      <c r="J8" s="74" t="e">
        <f t="shared" si="1"/>
        <v>#VALUE!</v>
      </c>
      <c r="K8" s="74" t="e">
        <f t="shared" si="1"/>
        <v>#VALUE!</v>
      </c>
      <c r="L8" s="74" t="e">
        <f t="shared" si="1"/>
        <v>#VALUE!</v>
      </c>
      <c r="M8" s="74" t="e">
        <f t="shared" si="1"/>
        <v>#VALUE!</v>
      </c>
      <c r="N8" s="72" t="e">
        <f>IF('Growing data-Input'!E19&gt;0,'Growing data-Input'!E19,#N/A)</f>
        <v>#N/A</v>
      </c>
      <c r="P8" s="78" t="e">
        <f t="shared" si="3"/>
        <v>#VALUE!</v>
      </c>
      <c r="Q8" s="78" t="e">
        <f t="shared" si="3"/>
        <v>#VALUE!</v>
      </c>
      <c r="R8" s="72">
        <v>14</v>
      </c>
      <c r="S8" s="77" t="str">
        <f>Standard!P10</f>
        <v/>
      </c>
      <c r="T8" s="77" t="str">
        <f>Standard!Q10</f>
        <v/>
      </c>
      <c r="U8" s="77" t="e">
        <f t="shared" ref="U8:U24" si="4">S8-S7</f>
        <v>#VALUE!</v>
      </c>
      <c r="V8" s="77" t="e">
        <f t="shared" ref="V8:V24" si="5">T8-T7</f>
        <v>#VALUE!</v>
      </c>
    </row>
    <row r="9" spans="1:22" x14ac:dyDescent="0.2">
      <c r="A9" s="71">
        <v>4</v>
      </c>
      <c r="B9" s="7">
        <f t="shared" ref="B9:B72" si="6">B8+1/7</f>
        <v>0.42857142857142855</v>
      </c>
      <c r="C9" s="74" t="e">
        <f t="shared" si="0"/>
        <v>#VALUE!</v>
      </c>
      <c r="D9" s="74" t="e">
        <f t="shared" si="0"/>
        <v>#VALUE!</v>
      </c>
      <c r="E9" s="74" t="e">
        <f t="shared" si="0"/>
        <v>#VALUE!</v>
      </c>
      <c r="F9" s="74" t="e">
        <f t="shared" si="0"/>
        <v>#VALUE!</v>
      </c>
      <c r="G9" s="74" t="e">
        <f t="shared" si="0"/>
        <v>#VALUE!</v>
      </c>
      <c r="H9" s="75" t="e">
        <f t="shared" si="2"/>
        <v>#VALUE!</v>
      </c>
      <c r="I9" s="74" t="e">
        <f t="shared" si="1"/>
        <v>#VALUE!</v>
      </c>
      <c r="J9" s="74" t="e">
        <f t="shared" si="1"/>
        <v>#VALUE!</v>
      </c>
      <c r="K9" s="74" t="e">
        <f t="shared" si="1"/>
        <v>#VALUE!</v>
      </c>
      <c r="L9" s="74" t="e">
        <f t="shared" si="1"/>
        <v>#VALUE!</v>
      </c>
      <c r="M9" s="74" t="e">
        <f t="shared" si="1"/>
        <v>#VALUE!</v>
      </c>
      <c r="N9" s="72" t="e">
        <f>IF('Growing data-Input'!E20&gt;0,'Growing data-Input'!E20,#N/A)</f>
        <v>#N/A</v>
      </c>
      <c r="P9" s="78" t="e">
        <f t="shared" si="3"/>
        <v>#VALUE!</v>
      </c>
      <c r="Q9" s="78" t="e">
        <f t="shared" si="3"/>
        <v>#VALUE!</v>
      </c>
      <c r="R9" s="72">
        <v>21</v>
      </c>
      <c r="S9" s="77" t="str">
        <f>Standard!P11</f>
        <v/>
      </c>
      <c r="T9" s="77" t="str">
        <f>Standard!Q11</f>
        <v/>
      </c>
      <c r="U9" s="77" t="e">
        <f t="shared" si="4"/>
        <v>#VALUE!</v>
      </c>
      <c r="V9" s="77" t="e">
        <f t="shared" si="5"/>
        <v>#VALUE!</v>
      </c>
    </row>
    <row r="10" spans="1:22" x14ac:dyDescent="0.2">
      <c r="A10" s="71">
        <v>5</v>
      </c>
      <c r="B10" s="7">
        <f t="shared" si="6"/>
        <v>0.5714285714285714</v>
      </c>
      <c r="C10" s="74" t="e">
        <f t="shared" si="0"/>
        <v>#VALUE!</v>
      </c>
      <c r="D10" s="74" t="e">
        <f t="shared" si="0"/>
        <v>#VALUE!</v>
      </c>
      <c r="E10" s="74" t="e">
        <f t="shared" si="0"/>
        <v>#VALUE!</v>
      </c>
      <c r="F10" s="74" t="e">
        <f t="shared" si="0"/>
        <v>#VALUE!</v>
      </c>
      <c r="G10" s="74" t="e">
        <f t="shared" si="0"/>
        <v>#VALUE!</v>
      </c>
      <c r="H10" s="75" t="e">
        <f t="shared" si="2"/>
        <v>#VALUE!</v>
      </c>
      <c r="I10" s="74" t="e">
        <f t="shared" si="1"/>
        <v>#VALUE!</v>
      </c>
      <c r="J10" s="74" t="e">
        <f t="shared" si="1"/>
        <v>#VALUE!</v>
      </c>
      <c r="K10" s="74" t="e">
        <f t="shared" si="1"/>
        <v>#VALUE!</v>
      </c>
      <c r="L10" s="74" t="e">
        <f t="shared" si="1"/>
        <v>#VALUE!</v>
      </c>
      <c r="M10" s="74" t="e">
        <f t="shared" si="1"/>
        <v>#VALUE!</v>
      </c>
      <c r="N10" s="72" t="e">
        <f>IF('Growing data-Input'!E21&gt;0,'Growing data-Input'!E21,#N/A)</f>
        <v>#N/A</v>
      </c>
      <c r="P10" s="78" t="e">
        <f t="shared" si="3"/>
        <v>#VALUE!</v>
      </c>
      <c r="Q10" s="78" t="e">
        <f t="shared" si="3"/>
        <v>#VALUE!</v>
      </c>
      <c r="R10" s="72">
        <v>28</v>
      </c>
      <c r="S10" s="77" t="str">
        <f>Standard!P12</f>
        <v/>
      </c>
      <c r="T10" s="77" t="str">
        <f>Standard!Q12</f>
        <v/>
      </c>
      <c r="U10" s="77" t="e">
        <f t="shared" si="4"/>
        <v>#VALUE!</v>
      </c>
      <c r="V10" s="77" t="e">
        <f t="shared" si="5"/>
        <v>#VALUE!</v>
      </c>
    </row>
    <row r="11" spans="1:22" x14ac:dyDescent="0.2">
      <c r="A11" s="71">
        <v>6</v>
      </c>
      <c r="B11" s="7">
        <f t="shared" si="6"/>
        <v>0.71428571428571419</v>
      </c>
      <c r="C11" s="74" t="e">
        <f t="shared" si="0"/>
        <v>#VALUE!</v>
      </c>
      <c r="D11" s="74" t="e">
        <f t="shared" si="0"/>
        <v>#VALUE!</v>
      </c>
      <c r="E11" s="74" t="e">
        <f t="shared" si="0"/>
        <v>#VALUE!</v>
      </c>
      <c r="F11" s="74" t="e">
        <f t="shared" si="0"/>
        <v>#VALUE!</v>
      </c>
      <c r="G11" s="74" t="e">
        <f t="shared" si="0"/>
        <v>#VALUE!</v>
      </c>
      <c r="H11" s="75" t="e">
        <f t="shared" si="2"/>
        <v>#VALUE!</v>
      </c>
      <c r="I11" s="74" t="e">
        <f t="shared" si="1"/>
        <v>#VALUE!</v>
      </c>
      <c r="J11" s="74" t="e">
        <f t="shared" si="1"/>
        <v>#VALUE!</v>
      </c>
      <c r="K11" s="74" t="e">
        <f t="shared" si="1"/>
        <v>#VALUE!</v>
      </c>
      <c r="L11" s="74" t="e">
        <f t="shared" si="1"/>
        <v>#VALUE!</v>
      </c>
      <c r="M11" s="74" t="e">
        <f t="shared" si="1"/>
        <v>#VALUE!</v>
      </c>
      <c r="N11" s="72" t="e">
        <f>IF('Growing data-Input'!E22&gt;0,'Growing data-Input'!E22,#N/A)</f>
        <v>#N/A</v>
      </c>
      <c r="P11" s="78" t="e">
        <f t="shared" si="3"/>
        <v>#VALUE!</v>
      </c>
      <c r="Q11" s="78" t="e">
        <f t="shared" si="3"/>
        <v>#VALUE!</v>
      </c>
      <c r="R11" s="72">
        <v>35</v>
      </c>
      <c r="S11" s="77" t="str">
        <f>Standard!P13</f>
        <v/>
      </c>
      <c r="T11" s="77" t="str">
        <f>Standard!Q13</f>
        <v/>
      </c>
      <c r="U11" s="77" t="e">
        <f t="shared" si="4"/>
        <v>#VALUE!</v>
      </c>
      <c r="V11" s="77" t="e">
        <f t="shared" si="5"/>
        <v>#VALUE!</v>
      </c>
    </row>
    <row r="12" spans="1:22" x14ac:dyDescent="0.2">
      <c r="A12" s="71">
        <v>7</v>
      </c>
      <c r="B12" s="7">
        <f t="shared" si="6"/>
        <v>0.85714285714285698</v>
      </c>
      <c r="C12" s="74" t="e">
        <f t="shared" si="0"/>
        <v>#DIV/0!</v>
      </c>
      <c r="D12" s="74" t="e">
        <f t="shared" si="0"/>
        <v>#DIV/0!</v>
      </c>
      <c r="E12" s="74" t="e">
        <f t="shared" si="0"/>
        <v>#DIV/0!</v>
      </c>
      <c r="F12" s="74" t="e">
        <f t="shared" si="0"/>
        <v>#DIV/0!</v>
      </c>
      <c r="G12" s="74" t="e">
        <f t="shared" si="0"/>
        <v>#DIV/0!</v>
      </c>
      <c r="H12" s="75" t="e">
        <f t="shared" si="2"/>
        <v>#DIV/0!</v>
      </c>
      <c r="I12" s="74" t="e">
        <f t="shared" si="1"/>
        <v>#DIV/0!</v>
      </c>
      <c r="J12" s="74" t="e">
        <f t="shared" si="1"/>
        <v>#DIV/0!</v>
      </c>
      <c r="K12" s="74" t="e">
        <f t="shared" si="1"/>
        <v>#DIV/0!</v>
      </c>
      <c r="L12" s="74" t="e">
        <f t="shared" si="1"/>
        <v>#DIV/0!</v>
      </c>
      <c r="M12" s="74" t="e">
        <f t="shared" si="1"/>
        <v>#DIV/0!</v>
      </c>
      <c r="N12" s="72" t="e">
        <f>IF('Growing data-Input'!E23&gt;0,'Growing data-Input'!E23,#N/A)</f>
        <v>#N/A</v>
      </c>
      <c r="P12" s="78" t="str">
        <f>VLOOKUP($A12,$R$6:$T$24,2,FALSE)</f>
        <v/>
      </c>
      <c r="Q12" s="78" t="str">
        <f>VLOOKUP($A12,$R$6:$T$24,3,FALSE)</f>
        <v/>
      </c>
      <c r="R12" s="72">
        <v>42</v>
      </c>
      <c r="S12" s="77" t="str">
        <f>Standard!P14</f>
        <v/>
      </c>
      <c r="T12" s="77" t="str">
        <f>Standard!Q14</f>
        <v/>
      </c>
      <c r="U12" s="77" t="e">
        <f t="shared" si="4"/>
        <v>#VALUE!</v>
      </c>
      <c r="V12" s="77" t="e">
        <f t="shared" si="5"/>
        <v>#VALUE!</v>
      </c>
    </row>
    <row r="13" spans="1:22" x14ac:dyDescent="0.2">
      <c r="A13" s="71">
        <v>8</v>
      </c>
      <c r="B13" s="7">
        <f t="shared" si="6"/>
        <v>0.99999999999999978</v>
      </c>
      <c r="C13" s="74" t="e">
        <f t="shared" si="0"/>
        <v>#VALUE!</v>
      </c>
      <c r="D13" s="74" t="e">
        <f t="shared" si="0"/>
        <v>#VALUE!</v>
      </c>
      <c r="E13" s="74" t="e">
        <f t="shared" si="0"/>
        <v>#VALUE!</v>
      </c>
      <c r="F13" s="74" t="e">
        <f t="shared" si="0"/>
        <v>#VALUE!</v>
      </c>
      <c r="G13" s="74" t="e">
        <f t="shared" si="0"/>
        <v>#VALUE!</v>
      </c>
      <c r="H13" s="75" t="e">
        <f t="shared" si="2"/>
        <v>#VALUE!</v>
      </c>
      <c r="I13" s="74" t="e">
        <f t="shared" si="1"/>
        <v>#VALUE!</v>
      </c>
      <c r="J13" s="74" t="e">
        <f t="shared" si="1"/>
        <v>#VALUE!</v>
      </c>
      <c r="K13" s="74" t="e">
        <f t="shared" si="1"/>
        <v>#VALUE!</v>
      </c>
      <c r="L13" s="74" t="e">
        <f t="shared" si="1"/>
        <v>#VALUE!</v>
      </c>
      <c r="M13" s="74" t="e">
        <f t="shared" si="1"/>
        <v>#VALUE!</v>
      </c>
      <c r="N13" s="72" t="e">
        <f>IF('Growing data-Input'!E24&gt;0,'Growing data-Input'!E24,#N/A)</f>
        <v>#N/A</v>
      </c>
      <c r="P13" s="78" t="e">
        <f t="shared" ref="P13:Q18" si="7">P12+$U$8/7</f>
        <v>#VALUE!</v>
      </c>
      <c r="Q13" s="78" t="e">
        <f t="shared" si="7"/>
        <v>#VALUE!</v>
      </c>
      <c r="R13" s="72">
        <v>49</v>
      </c>
      <c r="S13" s="77" t="str">
        <f>Standard!P15</f>
        <v/>
      </c>
      <c r="T13" s="77" t="str">
        <f>Standard!Q15</f>
        <v/>
      </c>
      <c r="U13" s="77" t="e">
        <f t="shared" si="4"/>
        <v>#VALUE!</v>
      </c>
      <c r="V13" s="77" t="e">
        <f t="shared" si="5"/>
        <v>#VALUE!</v>
      </c>
    </row>
    <row r="14" spans="1:22" x14ac:dyDescent="0.2">
      <c r="A14" s="71">
        <v>9</v>
      </c>
      <c r="B14" s="7">
        <f t="shared" si="6"/>
        <v>1.1428571428571426</v>
      </c>
      <c r="C14" s="74" t="e">
        <f t="shared" si="0"/>
        <v>#VALUE!</v>
      </c>
      <c r="D14" s="74" t="e">
        <f t="shared" si="0"/>
        <v>#VALUE!</v>
      </c>
      <c r="E14" s="74" t="e">
        <f t="shared" si="0"/>
        <v>#VALUE!</v>
      </c>
      <c r="F14" s="74" t="e">
        <f t="shared" si="0"/>
        <v>#VALUE!</v>
      </c>
      <c r="G14" s="74" t="e">
        <f t="shared" si="0"/>
        <v>#VALUE!</v>
      </c>
      <c r="H14" s="75" t="e">
        <f t="shared" si="2"/>
        <v>#VALUE!</v>
      </c>
      <c r="I14" s="74" t="e">
        <f t="shared" si="1"/>
        <v>#VALUE!</v>
      </c>
      <c r="J14" s="74" t="e">
        <f t="shared" si="1"/>
        <v>#VALUE!</v>
      </c>
      <c r="K14" s="74" t="e">
        <f t="shared" si="1"/>
        <v>#VALUE!</v>
      </c>
      <c r="L14" s="74" t="e">
        <f t="shared" si="1"/>
        <v>#VALUE!</v>
      </c>
      <c r="M14" s="74" t="e">
        <f t="shared" si="1"/>
        <v>#VALUE!</v>
      </c>
      <c r="N14" s="72" t="e">
        <f>IF('Growing data-Input'!E25&gt;0,'Growing data-Input'!E25,#N/A)</f>
        <v>#N/A</v>
      </c>
      <c r="P14" s="78" t="e">
        <f t="shared" si="7"/>
        <v>#VALUE!</v>
      </c>
      <c r="Q14" s="78" t="e">
        <f t="shared" si="7"/>
        <v>#VALUE!</v>
      </c>
      <c r="R14" s="72">
        <v>56</v>
      </c>
      <c r="S14" s="77" t="str">
        <f>Standard!P16</f>
        <v/>
      </c>
      <c r="T14" s="77" t="str">
        <f>Standard!Q16</f>
        <v/>
      </c>
      <c r="U14" s="77" t="e">
        <f t="shared" si="4"/>
        <v>#VALUE!</v>
      </c>
      <c r="V14" s="77" t="e">
        <f t="shared" si="5"/>
        <v>#VALUE!</v>
      </c>
    </row>
    <row r="15" spans="1:22" x14ac:dyDescent="0.2">
      <c r="A15" s="71">
        <v>10</v>
      </c>
      <c r="B15" s="7">
        <f t="shared" si="6"/>
        <v>1.2857142857142854</v>
      </c>
      <c r="C15" s="74" t="e">
        <f t="shared" si="0"/>
        <v>#VALUE!</v>
      </c>
      <c r="D15" s="74" t="e">
        <f t="shared" si="0"/>
        <v>#VALUE!</v>
      </c>
      <c r="E15" s="74" t="e">
        <f t="shared" si="0"/>
        <v>#VALUE!</v>
      </c>
      <c r="F15" s="74" t="e">
        <f t="shared" si="0"/>
        <v>#VALUE!</v>
      </c>
      <c r="G15" s="74" t="e">
        <f t="shared" si="0"/>
        <v>#VALUE!</v>
      </c>
      <c r="H15" s="75" t="e">
        <f t="shared" si="2"/>
        <v>#VALUE!</v>
      </c>
      <c r="I15" s="74" t="e">
        <f t="shared" si="1"/>
        <v>#VALUE!</v>
      </c>
      <c r="J15" s="74" t="e">
        <f t="shared" si="1"/>
        <v>#VALUE!</v>
      </c>
      <c r="K15" s="74" t="e">
        <f t="shared" si="1"/>
        <v>#VALUE!</v>
      </c>
      <c r="L15" s="74" t="e">
        <f t="shared" si="1"/>
        <v>#VALUE!</v>
      </c>
      <c r="M15" s="74" t="e">
        <f t="shared" si="1"/>
        <v>#VALUE!</v>
      </c>
      <c r="N15" s="72" t="e">
        <f>IF('Growing data-Input'!E26&gt;0,'Growing data-Input'!E26,#N/A)</f>
        <v>#N/A</v>
      </c>
      <c r="P15" s="78" t="e">
        <f t="shared" si="7"/>
        <v>#VALUE!</v>
      </c>
      <c r="Q15" s="78" t="e">
        <f t="shared" si="7"/>
        <v>#VALUE!</v>
      </c>
      <c r="R15" s="72">
        <v>63</v>
      </c>
      <c r="S15" s="77" t="str">
        <f>Standard!P17</f>
        <v/>
      </c>
      <c r="T15" s="77" t="str">
        <f>Standard!Q17</f>
        <v/>
      </c>
      <c r="U15" s="77" t="e">
        <f t="shared" si="4"/>
        <v>#VALUE!</v>
      </c>
      <c r="V15" s="77" t="e">
        <f t="shared" si="5"/>
        <v>#VALUE!</v>
      </c>
    </row>
    <row r="16" spans="1:22" x14ac:dyDescent="0.2">
      <c r="A16" s="71">
        <v>11</v>
      </c>
      <c r="B16" s="7">
        <f t="shared" si="6"/>
        <v>1.4285714285714282</v>
      </c>
      <c r="C16" s="74" t="e">
        <f t="shared" ref="C16:G25" si="8">IF((D16*0.994)&lt;$P16,$P16,D16*0.994)</f>
        <v>#VALUE!</v>
      </c>
      <c r="D16" s="74" t="e">
        <f t="shared" si="8"/>
        <v>#VALUE!</v>
      </c>
      <c r="E16" s="74" t="e">
        <f t="shared" si="8"/>
        <v>#VALUE!</v>
      </c>
      <c r="F16" s="74" t="e">
        <f t="shared" si="8"/>
        <v>#VALUE!</v>
      </c>
      <c r="G16" s="74" t="e">
        <f t="shared" si="8"/>
        <v>#VALUE!</v>
      </c>
      <c r="H16" s="75" t="e">
        <f t="shared" si="2"/>
        <v>#VALUE!</v>
      </c>
      <c r="I16" s="74" t="e">
        <f t="shared" ref="I16:M25" si="9">IF((H16*1.006)&gt;$Q16,$Q16,H16*1.006)</f>
        <v>#VALUE!</v>
      </c>
      <c r="J16" s="74" t="e">
        <f t="shared" si="9"/>
        <v>#VALUE!</v>
      </c>
      <c r="K16" s="74" t="e">
        <f t="shared" si="9"/>
        <v>#VALUE!</v>
      </c>
      <c r="L16" s="74" t="e">
        <f t="shared" si="9"/>
        <v>#VALUE!</v>
      </c>
      <c r="M16" s="74" t="e">
        <f t="shared" si="9"/>
        <v>#VALUE!</v>
      </c>
      <c r="N16" s="72" t="e">
        <f>IF('Growing data-Input'!E27&gt;0,'Growing data-Input'!E27,#N/A)</f>
        <v>#N/A</v>
      </c>
      <c r="P16" s="78" t="e">
        <f t="shared" si="7"/>
        <v>#VALUE!</v>
      </c>
      <c r="Q16" s="78" t="e">
        <f t="shared" si="7"/>
        <v>#VALUE!</v>
      </c>
      <c r="R16" s="72">
        <v>70</v>
      </c>
      <c r="S16" s="77" t="str">
        <f>Standard!P18</f>
        <v/>
      </c>
      <c r="T16" s="77" t="str">
        <f>Standard!Q18</f>
        <v/>
      </c>
      <c r="U16" s="77" t="e">
        <f t="shared" si="4"/>
        <v>#VALUE!</v>
      </c>
      <c r="V16" s="77" t="e">
        <f t="shared" si="5"/>
        <v>#VALUE!</v>
      </c>
    </row>
    <row r="17" spans="1:22" x14ac:dyDescent="0.2">
      <c r="A17" s="71">
        <v>12</v>
      </c>
      <c r="B17" s="7">
        <f t="shared" si="6"/>
        <v>1.571428571428571</v>
      </c>
      <c r="C17" s="74" t="e">
        <f t="shared" si="8"/>
        <v>#VALUE!</v>
      </c>
      <c r="D17" s="74" t="e">
        <f t="shared" si="8"/>
        <v>#VALUE!</v>
      </c>
      <c r="E17" s="74" t="e">
        <f t="shared" si="8"/>
        <v>#VALUE!</v>
      </c>
      <c r="F17" s="74" t="e">
        <f t="shared" si="8"/>
        <v>#VALUE!</v>
      </c>
      <c r="G17" s="74" t="e">
        <f t="shared" si="8"/>
        <v>#VALUE!</v>
      </c>
      <c r="H17" s="75" t="e">
        <f t="shared" si="2"/>
        <v>#VALUE!</v>
      </c>
      <c r="I17" s="74" t="e">
        <f t="shared" si="9"/>
        <v>#VALUE!</v>
      </c>
      <c r="J17" s="74" t="e">
        <f t="shared" si="9"/>
        <v>#VALUE!</v>
      </c>
      <c r="K17" s="74" t="e">
        <f t="shared" si="9"/>
        <v>#VALUE!</v>
      </c>
      <c r="L17" s="74" t="e">
        <f t="shared" si="9"/>
        <v>#VALUE!</v>
      </c>
      <c r="M17" s="74" t="e">
        <f t="shared" si="9"/>
        <v>#VALUE!</v>
      </c>
      <c r="N17" s="72" t="e">
        <f>IF('Growing data-Input'!E28&gt;0,'Growing data-Input'!E28,#N/A)</f>
        <v>#N/A</v>
      </c>
      <c r="P17" s="78" t="e">
        <f t="shared" si="7"/>
        <v>#VALUE!</v>
      </c>
      <c r="Q17" s="78" t="e">
        <f t="shared" si="7"/>
        <v>#VALUE!</v>
      </c>
      <c r="R17" s="72">
        <v>77</v>
      </c>
      <c r="S17" s="77" t="str">
        <f>Standard!P19</f>
        <v/>
      </c>
      <c r="T17" s="77" t="str">
        <f>Standard!Q19</f>
        <v/>
      </c>
      <c r="U17" s="77" t="e">
        <f t="shared" si="4"/>
        <v>#VALUE!</v>
      </c>
      <c r="V17" s="77" t="e">
        <f t="shared" si="5"/>
        <v>#VALUE!</v>
      </c>
    </row>
    <row r="18" spans="1:22" x14ac:dyDescent="0.2">
      <c r="A18" s="71">
        <v>13</v>
      </c>
      <c r="B18" s="7">
        <f t="shared" si="6"/>
        <v>1.7142857142857137</v>
      </c>
      <c r="C18" s="74" t="e">
        <f t="shared" si="8"/>
        <v>#VALUE!</v>
      </c>
      <c r="D18" s="74" t="e">
        <f t="shared" si="8"/>
        <v>#VALUE!</v>
      </c>
      <c r="E18" s="74" t="e">
        <f t="shared" si="8"/>
        <v>#VALUE!</v>
      </c>
      <c r="F18" s="74" t="e">
        <f t="shared" si="8"/>
        <v>#VALUE!</v>
      </c>
      <c r="G18" s="74" t="e">
        <f t="shared" si="8"/>
        <v>#VALUE!</v>
      </c>
      <c r="H18" s="75" t="e">
        <f t="shared" si="2"/>
        <v>#VALUE!</v>
      </c>
      <c r="I18" s="74" t="e">
        <f t="shared" si="9"/>
        <v>#VALUE!</v>
      </c>
      <c r="J18" s="74" t="e">
        <f t="shared" si="9"/>
        <v>#VALUE!</v>
      </c>
      <c r="K18" s="74" t="e">
        <f t="shared" si="9"/>
        <v>#VALUE!</v>
      </c>
      <c r="L18" s="74" t="e">
        <f t="shared" si="9"/>
        <v>#VALUE!</v>
      </c>
      <c r="M18" s="74" t="e">
        <f t="shared" si="9"/>
        <v>#VALUE!</v>
      </c>
      <c r="N18" s="72" t="e">
        <f>IF('Growing data-Input'!E29&gt;0,'Growing data-Input'!E29,#N/A)</f>
        <v>#N/A</v>
      </c>
      <c r="P18" s="78" t="e">
        <f t="shared" si="7"/>
        <v>#VALUE!</v>
      </c>
      <c r="Q18" s="78" t="e">
        <f t="shared" si="7"/>
        <v>#VALUE!</v>
      </c>
      <c r="R18" s="72">
        <v>84</v>
      </c>
      <c r="S18" s="77" t="str">
        <f>Standard!P20</f>
        <v/>
      </c>
      <c r="T18" s="77" t="str">
        <f>Standard!Q20</f>
        <v/>
      </c>
      <c r="U18" s="77" t="e">
        <f t="shared" si="4"/>
        <v>#VALUE!</v>
      </c>
      <c r="V18" s="77" t="e">
        <f t="shared" si="5"/>
        <v>#VALUE!</v>
      </c>
    </row>
    <row r="19" spans="1:22" x14ac:dyDescent="0.2">
      <c r="A19" s="71">
        <v>14</v>
      </c>
      <c r="B19" s="7">
        <f t="shared" si="6"/>
        <v>1.8571428571428565</v>
      </c>
      <c r="C19" s="74" t="e">
        <f t="shared" si="8"/>
        <v>#DIV/0!</v>
      </c>
      <c r="D19" s="74" t="e">
        <f t="shared" si="8"/>
        <v>#DIV/0!</v>
      </c>
      <c r="E19" s="74" t="e">
        <f t="shared" si="8"/>
        <v>#DIV/0!</v>
      </c>
      <c r="F19" s="74" t="e">
        <f t="shared" si="8"/>
        <v>#DIV/0!</v>
      </c>
      <c r="G19" s="74" t="e">
        <f t="shared" si="8"/>
        <v>#DIV/0!</v>
      </c>
      <c r="H19" s="75" t="e">
        <f t="shared" si="2"/>
        <v>#DIV/0!</v>
      </c>
      <c r="I19" s="74" t="e">
        <f t="shared" si="9"/>
        <v>#DIV/0!</v>
      </c>
      <c r="J19" s="74" t="e">
        <f t="shared" si="9"/>
        <v>#DIV/0!</v>
      </c>
      <c r="K19" s="74" t="e">
        <f t="shared" si="9"/>
        <v>#DIV/0!</v>
      </c>
      <c r="L19" s="74" t="e">
        <f t="shared" si="9"/>
        <v>#DIV/0!</v>
      </c>
      <c r="M19" s="74" t="e">
        <f t="shared" si="9"/>
        <v>#DIV/0!</v>
      </c>
      <c r="N19" s="72" t="e">
        <f>IF('Growing data-Input'!E30&gt;0,'Growing data-Input'!E30,#N/A)</f>
        <v>#N/A</v>
      </c>
      <c r="P19" s="78" t="str">
        <f>VLOOKUP($A19,$R$6:$T$24,2,FALSE)</f>
        <v/>
      </c>
      <c r="Q19" s="78" t="str">
        <f>VLOOKUP($A19,$R$6:$T$24,3,FALSE)</f>
        <v/>
      </c>
      <c r="R19" s="72">
        <v>91</v>
      </c>
      <c r="S19" s="77" t="str">
        <f>Standard!P21</f>
        <v/>
      </c>
      <c r="T19" s="77" t="str">
        <f>Standard!Q21</f>
        <v/>
      </c>
      <c r="U19" s="77" t="e">
        <f t="shared" si="4"/>
        <v>#VALUE!</v>
      </c>
      <c r="V19" s="77" t="e">
        <f t="shared" si="5"/>
        <v>#VALUE!</v>
      </c>
    </row>
    <row r="20" spans="1:22" x14ac:dyDescent="0.2">
      <c r="A20" s="71">
        <v>15</v>
      </c>
      <c r="B20" s="7">
        <f t="shared" si="6"/>
        <v>1.9999999999999993</v>
      </c>
      <c r="C20" s="74" t="e">
        <f t="shared" si="8"/>
        <v>#VALUE!</v>
      </c>
      <c r="D20" s="74" t="e">
        <f t="shared" si="8"/>
        <v>#VALUE!</v>
      </c>
      <c r="E20" s="74" t="e">
        <f t="shared" si="8"/>
        <v>#VALUE!</v>
      </c>
      <c r="F20" s="74" t="e">
        <f t="shared" si="8"/>
        <v>#VALUE!</v>
      </c>
      <c r="G20" s="74" t="e">
        <f t="shared" si="8"/>
        <v>#VALUE!</v>
      </c>
      <c r="H20" s="75" t="e">
        <f t="shared" si="2"/>
        <v>#VALUE!</v>
      </c>
      <c r="I20" s="74" t="e">
        <f t="shared" si="9"/>
        <v>#VALUE!</v>
      </c>
      <c r="J20" s="74" t="e">
        <f t="shared" si="9"/>
        <v>#VALUE!</v>
      </c>
      <c r="K20" s="74" t="e">
        <f t="shared" si="9"/>
        <v>#VALUE!</v>
      </c>
      <c r="L20" s="74" t="e">
        <f t="shared" si="9"/>
        <v>#VALUE!</v>
      </c>
      <c r="M20" s="74" t="e">
        <f t="shared" si="9"/>
        <v>#VALUE!</v>
      </c>
      <c r="N20" s="72" t="e">
        <f>IF('Growing data-Input'!E31&gt;0,'Growing data-Input'!E31,#N/A)</f>
        <v>#N/A</v>
      </c>
      <c r="P20" s="78" t="e">
        <f t="shared" ref="P20:Q25" si="10">P19+$U$9/7</f>
        <v>#VALUE!</v>
      </c>
      <c r="Q20" s="78" t="e">
        <f t="shared" si="10"/>
        <v>#VALUE!</v>
      </c>
      <c r="R20" s="72">
        <v>98</v>
      </c>
      <c r="S20" s="77" t="str">
        <f>Standard!P22</f>
        <v/>
      </c>
      <c r="T20" s="77" t="str">
        <f>Standard!Q22</f>
        <v/>
      </c>
      <c r="U20" s="77" t="e">
        <f t="shared" si="4"/>
        <v>#VALUE!</v>
      </c>
      <c r="V20" s="77" t="e">
        <f t="shared" si="5"/>
        <v>#VALUE!</v>
      </c>
    </row>
    <row r="21" spans="1:22" x14ac:dyDescent="0.2">
      <c r="A21" s="71">
        <v>16</v>
      </c>
      <c r="B21" s="7">
        <f t="shared" si="6"/>
        <v>2.1428571428571423</v>
      </c>
      <c r="C21" s="74" t="e">
        <f t="shared" si="8"/>
        <v>#VALUE!</v>
      </c>
      <c r="D21" s="74" t="e">
        <f t="shared" si="8"/>
        <v>#VALUE!</v>
      </c>
      <c r="E21" s="74" t="e">
        <f t="shared" si="8"/>
        <v>#VALUE!</v>
      </c>
      <c r="F21" s="74" t="e">
        <f t="shared" si="8"/>
        <v>#VALUE!</v>
      </c>
      <c r="G21" s="74" t="e">
        <f t="shared" si="8"/>
        <v>#VALUE!</v>
      </c>
      <c r="H21" s="75" t="e">
        <f t="shared" si="2"/>
        <v>#VALUE!</v>
      </c>
      <c r="I21" s="74" t="e">
        <f t="shared" si="9"/>
        <v>#VALUE!</v>
      </c>
      <c r="J21" s="74" t="e">
        <f t="shared" si="9"/>
        <v>#VALUE!</v>
      </c>
      <c r="K21" s="74" t="e">
        <f t="shared" si="9"/>
        <v>#VALUE!</v>
      </c>
      <c r="L21" s="74" t="e">
        <f t="shared" si="9"/>
        <v>#VALUE!</v>
      </c>
      <c r="M21" s="74" t="e">
        <f t="shared" si="9"/>
        <v>#VALUE!</v>
      </c>
      <c r="N21" s="72" t="e">
        <f>IF('Growing data-Input'!E32&gt;0,'Growing data-Input'!E32,#N/A)</f>
        <v>#N/A</v>
      </c>
      <c r="P21" s="78" t="e">
        <f t="shared" si="10"/>
        <v>#VALUE!</v>
      </c>
      <c r="Q21" s="78" t="e">
        <f t="shared" si="10"/>
        <v>#VALUE!</v>
      </c>
      <c r="R21" s="72">
        <v>105</v>
      </c>
      <c r="S21" s="77" t="str">
        <f>Standard!P23</f>
        <v/>
      </c>
      <c r="T21" s="77" t="str">
        <f>Standard!Q23</f>
        <v/>
      </c>
      <c r="U21" s="77" t="e">
        <f t="shared" si="4"/>
        <v>#VALUE!</v>
      </c>
      <c r="V21" s="77" t="e">
        <f t="shared" si="5"/>
        <v>#VALUE!</v>
      </c>
    </row>
    <row r="22" spans="1:22" x14ac:dyDescent="0.2">
      <c r="A22" s="71">
        <v>17</v>
      </c>
      <c r="B22" s="7">
        <f t="shared" si="6"/>
        <v>2.2857142857142851</v>
      </c>
      <c r="C22" s="74" t="e">
        <f t="shared" si="8"/>
        <v>#VALUE!</v>
      </c>
      <c r="D22" s="74" t="e">
        <f t="shared" si="8"/>
        <v>#VALUE!</v>
      </c>
      <c r="E22" s="74" t="e">
        <f t="shared" si="8"/>
        <v>#VALUE!</v>
      </c>
      <c r="F22" s="74" t="e">
        <f t="shared" si="8"/>
        <v>#VALUE!</v>
      </c>
      <c r="G22" s="74" t="e">
        <f t="shared" si="8"/>
        <v>#VALUE!</v>
      </c>
      <c r="H22" s="75" t="e">
        <f t="shared" si="2"/>
        <v>#VALUE!</v>
      </c>
      <c r="I22" s="74" t="e">
        <f t="shared" si="9"/>
        <v>#VALUE!</v>
      </c>
      <c r="J22" s="74" t="e">
        <f t="shared" si="9"/>
        <v>#VALUE!</v>
      </c>
      <c r="K22" s="74" t="e">
        <f t="shared" si="9"/>
        <v>#VALUE!</v>
      </c>
      <c r="L22" s="74" t="e">
        <f t="shared" si="9"/>
        <v>#VALUE!</v>
      </c>
      <c r="M22" s="74" t="e">
        <f t="shared" si="9"/>
        <v>#VALUE!</v>
      </c>
      <c r="N22" s="72" t="e">
        <f>IF('Growing data-Input'!E33&gt;0,'Growing data-Input'!E33,#N/A)</f>
        <v>#N/A</v>
      </c>
      <c r="P22" s="78" t="e">
        <f t="shared" si="10"/>
        <v>#VALUE!</v>
      </c>
      <c r="Q22" s="78" t="e">
        <f t="shared" si="10"/>
        <v>#VALUE!</v>
      </c>
      <c r="R22" s="72">
        <v>112</v>
      </c>
      <c r="S22" s="77" t="str">
        <f>Standard!P24</f>
        <v/>
      </c>
      <c r="T22" s="77" t="str">
        <f>Standard!Q24</f>
        <v/>
      </c>
      <c r="U22" s="77" t="e">
        <f t="shared" si="4"/>
        <v>#VALUE!</v>
      </c>
      <c r="V22" s="77" t="e">
        <f t="shared" si="5"/>
        <v>#VALUE!</v>
      </c>
    </row>
    <row r="23" spans="1:22" x14ac:dyDescent="0.2">
      <c r="A23" s="71">
        <v>18</v>
      </c>
      <c r="B23" s="7">
        <f t="shared" si="6"/>
        <v>2.4285714285714279</v>
      </c>
      <c r="C23" s="74" t="e">
        <f t="shared" si="8"/>
        <v>#VALUE!</v>
      </c>
      <c r="D23" s="74" t="e">
        <f t="shared" si="8"/>
        <v>#VALUE!</v>
      </c>
      <c r="E23" s="74" t="e">
        <f t="shared" si="8"/>
        <v>#VALUE!</v>
      </c>
      <c r="F23" s="74" t="e">
        <f t="shared" si="8"/>
        <v>#VALUE!</v>
      </c>
      <c r="G23" s="74" t="e">
        <f t="shared" si="8"/>
        <v>#VALUE!</v>
      </c>
      <c r="H23" s="75" t="e">
        <f t="shared" si="2"/>
        <v>#VALUE!</v>
      </c>
      <c r="I23" s="74" t="e">
        <f t="shared" si="9"/>
        <v>#VALUE!</v>
      </c>
      <c r="J23" s="74" t="e">
        <f t="shared" si="9"/>
        <v>#VALUE!</v>
      </c>
      <c r="K23" s="74" t="e">
        <f t="shared" si="9"/>
        <v>#VALUE!</v>
      </c>
      <c r="L23" s="74" t="e">
        <f t="shared" si="9"/>
        <v>#VALUE!</v>
      </c>
      <c r="M23" s="74" t="e">
        <f t="shared" si="9"/>
        <v>#VALUE!</v>
      </c>
      <c r="N23" s="72" t="e">
        <f>IF('Growing data-Input'!E34&gt;0,'Growing data-Input'!E34,#N/A)</f>
        <v>#N/A</v>
      </c>
      <c r="P23" s="78" t="e">
        <f t="shared" si="10"/>
        <v>#VALUE!</v>
      </c>
      <c r="Q23" s="78" t="e">
        <f t="shared" si="10"/>
        <v>#VALUE!</v>
      </c>
      <c r="R23" s="72">
        <v>119</v>
      </c>
      <c r="S23" s="77" t="str">
        <f>Standard!P25</f>
        <v/>
      </c>
      <c r="T23" s="77" t="str">
        <f>Standard!Q25</f>
        <v/>
      </c>
      <c r="U23" s="77" t="e">
        <f t="shared" si="4"/>
        <v>#VALUE!</v>
      </c>
      <c r="V23" s="77" t="e">
        <f t="shared" si="5"/>
        <v>#VALUE!</v>
      </c>
    </row>
    <row r="24" spans="1:22" x14ac:dyDescent="0.2">
      <c r="A24" s="71">
        <v>19</v>
      </c>
      <c r="B24" s="7">
        <f t="shared" si="6"/>
        <v>2.5714285714285707</v>
      </c>
      <c r="C24" s="74" t="e">
        <f t="shared" si="8"/>
        <v>#VALUE!</v>
      </c>
      <c r="D24" s="74" t="e">
        <f t="shared" si="8"/>
        <v>#VALUE!</v>
      </c>
      <c r="E24" s="74" t="e">
        <f t="shared" si="8"/>
        <v>#VALUE!</v>
      </c>
      <c r="F24" s="74" t="e">
        <f t="shared" si="8"/>
        <v>#VALUE!</v>
      </c>
      <c r="G24" s="74" t="e">
        <f t="shared" si="8"/>
        <v>#VALUE!</v>
      </c>
      <c r="H24" s="75" t="e">
        <f t="shared" si="2"/>
        <v>#VALUE!</v>
      </c>
      <c r="I24" s="74" t="e">
        <f t="shared" si="9"/>
        <v>#VALUE!</v>
      </c>
      <c r="J24" s="74" t="e">
        <f t="shared" si="9"/>
        <v>#VALUE!</v>
      </c>
      <c r="K24" s="74" t="e">
        <f t="shared" si="9"/>
        <v>#VALUE!</v>
      </c>
      <c r="L24" s="74" t="e">
        <f t="shared" si="9"/>
        <v>#VALUE!</v>
      </c>
      <c r="M24" s="74" t="e">
        <f t="shared" si="9"/>
        <v>#VALUE!</v>
      </c>
      <c r="N24" s="72" t="e">
        <f>IF('Growing data-Input'!E35&gt;0,'Growing data-Input'!E35,#N/A)</f>
        <v>#N/A</v>
      </c>
      <c r="P24" s="78" t="e">
        <f t="shared" si="10"/>
        <v>#VALUE!</v>
      </c>
      <c r="Q24" s="78" t="e">
        <f t="shared" si="10"/>
        <v>#VALUE!</v>
      </c>
      <c r="R24" s="72">
        <v>126</v>
      </c>
      <c r="S24" s="77" t="str">
        <f>Standard!P26</f>
        <v/>
      </c>
      <c r="T24" s="77" t="str">
        <f>Standard!Q26</f>
        <v/>
      </c>
      <c r="U24" s="77" t="e">
        <f t="shared" si="4"/>
        <v>#VALUE!</v>
      </c>
      <c r="V24" s="77" t="e">
        <f t="shared" si="5"/>
        <v>#VALUE!</v>
      </c>
    </row>
    <row r="25" spans="1:22" x14ac:dyDescent="0.2">
      <c r="A25" s="71">
        <v>20</v>
      </c>
      <c r="B25" s="7">
        <f t="shared" si="6"/>
        <v>2.7142857142857135</v>
      </c>
      <c r="C25" s="74" t="e">
        <f t="shared" si="8"/>
        <v>#VALUE!</v>
      </c>
      <c r="D25" s="74" t="e">
        <f t="shared" si="8"/>
        <v>#VALUE!</v>
      </c>
      <c r="E25" s="74" t="e">
        <f t="shared" si="8"/>
        <v>#VALUE!</v>
      </c>
      <c r="F25" s="74" t="e">
        <f t="shared" si="8"/>
        <v>#VALUE!</v>
      </c>
      <c r="G25" s="74" t="e">
        <f t="shared" si="8"/>
        <v>#VALUE!</v>
      </c>
      <c r="H25" s="75" t="e">
        <f t="shared" si="2"/>
        <v>#VALUE!</v>
      </c>
      <c r="I25" s="74" t="e">
        <f t="shared" si="9"/>
        <v>#VALUE!</v>
      </c>
      <c r="J25" s="74" t="e">
        <f t="shared" si="9"/>
        <v>#VALUE!</v>
      </c>
      <c r="K25" s="74" t="e">
        <f t="shared" si="9"/>
        <v>#VALUE!</v>
      </c>
      <c r="L25" s="74" t="e">
        <f t="shared" si="9"/>
        <v>#VALUE!</v>
      </c>
      <c r="M25" s="74" t="e">
        <f t="shared" si="9"/>
        <v>#VALUE!</v>
      </c>
      <c r="N25" s="72" t="e">
        <f>IF('Growing data-Input'!E36&gt;0,'Growing data-Input'!E36,#N/A)</f>
        <v>#N/A</v>
      </c>
      <c r="P25" s="78" t="e">
        <f t="shared" si="10"/>
        <v>#VALUE!</v>
      </c>
      <c r="Q25" s="78" t="e">
        <f t="shared" si="10"/>
        <v>#VALUE!</v>
      </c>
    </row>
    <row r="26" spans="1:22" x14ac:dyDescent="0.2">
      <c r="A26" s="71">
        <v>21</v>
      </c>
      <c r="B26" s="7">
        <f t="shared" si="6"/>
        <v>2.8571428571428563</v>
      </c>
      <c r="C26" s="74" t="e">
        <f t="shared" ref="C26:G35" si="11">IF((D26*0.994)&lt;$P26,$P26,D26*0.994)</f>
        <v>#DIV/0!</v>
      </c>
      <c r="D26" s="74" t="e">
        <f t="shared" si="11"/>
        <v>#DIV/0!</v>
      </c>
      <c r="E26" s="74" t="e">
        <f t="shared" si="11"/>
        <v>#DIV/0!</v>
      </c>
      <c r="F26" s="74" t="e">
        <f t="shared" si="11"/>
        <v>#DIV/0!</v>
      </c>
      <c r="G26" s="74" t="e">
        <f t="shared" si="11"/>
        <v>#DIV/0!</v>
      </c>
      <c r="H26" s="75" t="e">
        <f t="shared" si="2"/>
        <v>#DIV/0!</v>
      </c>
      <c r="I26" s="74" t="e">
        <f t="shared" ref="I26:M35" si="12">IF((H26*1.006)&gt;$Q26,$Q26,H26*1.006)</f>
        <v>#DIV/0!</v>
      </c>
      <c r="J26" s="74" t="e">
        <f t="shared" si="12"/>
        <v>#DIV/0!</v>
      </c>
      <c r="K26" s="74" t="e">
        <f t="shared" si="12"/>
        <v>#DIV/0!</v>
      </c>
      <c r="L26" s="74" t="e">
        <f t="shared" si="12"/>
        <v>#DIV/0!</v>
      </c>
      <c r="M26" s="74" t="e">
        <f t="shared" si="12"/>
        <v>#DIV/0!</v>
      </c>
      <c r="N26" s="72" t="e">
        <f>IF('Growing data-Input'!E37&gt;0,'Growing data-Input'!E37,#N/A)</f>
        <v>#N/A</v>
      </c>
      <c r="P26" s="78" t="str">
        <f>VLOOKUP($A26,$R$6:$T$24,2,FALSE)</f>
        <v/>
      </c>
      <c r="Q26" s="78" t="str">
        <f>VLOOKUP($A26,$R$6:$T$24,3,FALSE)</f>
        <v/>
      </c>
    </row>
    <row r="27" spans="1:22" x14ac:dyDescent="0.2">
      <c r="A27" s="71">
        <v>22</v>
      </c>
      <c r="B27" s="7">
        <f t="shared" si="6"/>
        <v>2.9999999999999991</v>
      </c>
      <c r="C27" s="74" t="e">
        <f t="shared" si="11"/>
        <v>#VALUE!</v>
      </c>
      <c r="D27" s="74" t="e">
        <f t="shared" si="11"/>
        <v>#VALUE!</v>
      </c>
      <c r="E27" s="74" t="e">
        <f t="shared" si="11"/>
        <v>#VALUE!</v>
      </c>
      <c r="F27" s="74" t="e">
        <f t="shared" si="11"/>
        <v>#VALUE!</v>
      </c>
      <c r="G27" s="74" t="e">
        <f t="shared" si="11"/>
        <v>#VALUE!</v>
      </c>
      <c r="H27" s="75" t="e">
        <f t="shared" si="2"/>
        <v>#VALUE!</v>
      </c>
      <c r="I27" s="74" t="e">
        <f t="shared" si="12"/>
        <v>#VALUE!</v>
      </c>
      <c r="J27" s="74" t="e">
        <f t="shared" si="12"/>
        <v>#VALUE!</v>
      </c>
      <c r="K27" s="74" t="e">
        <f t="shared" si="12"/>
        <v>#VALUE!</v>
      </c>
      <c r="L27" s="74" t="e">
        <f t="shared" si="12"/>
        <v>#VALUE!</v>
      </c>
      <c r="M27" s="74" t="e">
        <f t="shared" si="12"/>
        <v>#VALUE!</v>
      </c>
      <c r="N27" s="72" t="e">
        <f>IF('Growing data-Input'!E38&gt;0,'Growing data-Input'!E38,#N/A)</f>
        <v>#N/A</v>
      </c>
      <c r="P27" s="78" t="e">
        <f t="shared" ref="P27:Q32" si="13">P26+$U$10/7</f>
        <v>#VALUE!</v>
      </c>
      <c r="Q27" s="78" t="e">
        <f t="shared" si="13"/>
        <v>#VALUE!</v>
      </c>
    </row>
    <row r="28" spans="1:22" x14ac:dyDescent="0.2">
      <c r="A28" s="71">
        <v>23</v>
      </c>
      <c r="B28" s="7">
        <f t="shared" si="6"/>
        <v>3.1428571428571419</v>
      </c>
      <c r="C28" s="74" t="e">
        <f t="shared" si="11"/>
        <v>#VALUE!</v>
      </c>
      <c r="D28" s="74" t="e">
        <f t="shared" si="11"/>
        <v>#VALUE!</v>
      </c>
      <c r="E28" s="74" t="e">
        <f t="shared" si="11"/>
        <v>#VALUE!</v>
      </c>
      <c r="F28" s="74" t="e">
        <f t="shared" si="11"/>
        <v>#VALUE!</v>
      </c>
      <c r="G28" s="74" t="e">
        <f t="shared" si="11"/>
        <v>#VALUE!</v>
      </c>
      <c r="H28" s="75" t="e">
        <f t="shared" si="2"/>
        <v>#VALUE!</v>
      </c>
      <c r="I28" s="74" t="e">
        <f t="shared" si="12"/>
        <v>#VALUE!</v>
      </c>
      <c r="J28" s="74" t="e">
        <f t="shared" si="12"/>
        <v>#VALUE!</v>
      </c>
      <c r="K28" s="74" t="e">
        <f t="shared" si="12"/>
        <v>#VALUE!</v>
      </c>
      <c r="L28" s="74" t="e">
        <f t="shared" si="12"/>
        <v>#VALUE!</v>
      </c>
      <c r="M28" s="74" t="e">
        <f t="shared" si="12"/>
        <v>#VALUE!</v>
      </c>
      <c r="N28" s="72" t="e">
        <f>IF('Growing data-Input'!E39&gt;0,'Growing data-Input'!E39,#N/A)</f>
        <v>#N/A</v>
      </c>
      <c r="P28" s="78" t="e">
        <f t="shared" si="13"/>
        <v>#VALUE!</v>
      </c>
      <c r="Q28" s="78" t="e">
        <f t="shared" si="13"/>
        <v>#VALUE!</v>
      </c>
    </row>
    <row r="29" spans="1:22" x14ac:dyDescent="0.2">
      <c r="A29" s="71">
        <v>24</v>
      </c>
      <c r="B29" s="7">
        <f t="shared" si="6"/>
        <v>3.2857142857142847</v>
      </c>
      <c r="C29" s="74" t="e">
        <f t="shared" si="11"/>
        <v>#VALUE!</v>
      </c>
      <c r="D29" s="74" t="e">
        <f t="shared" si="11"/>
        <v>#VALUE!</v>
      </c>
      <c r="E29" s="74" t="e">
        <f t="shared" si="11"/>
        <v>#VALUE!</v>
      </c>
      <c r="F29" s="74" t="e">
        <f t="shared" si="11"/>
        <v>#VALUE!</v>
      </c>
      <c r="G29" s="74" t="e">
        <f t="shared" si="11"/>
        <v>#VALUE!</v>
      </c>
      <c r="H29" s="75" t="e">
        <f t="shared" si="2"/>
        <v>#VALUE!</v>
      </c>
      <c r="I29" s="74" t="e">
        <f t="shared" si="12"/>
        <v>#VALUE!</v>
      </c>
      <c r="J29" s="74" t="e">
        <f t="shared" si="12"/>
        <v>#VALUE!</v>
      </c>
      <c r="K29" s="74" t="e">
        <f t="shared" si="12"/>
        <v>#VALUE!</v>
      </c>
      <c r="L29" s="74" t="e">
        <f t="shared" si="12"/>
        <v>#VALUE!</v>
      </c>
      <c r="M29" s="74" t="e">
        <f t="shared" si="12"/>
        <v>#VALUE!</v>
      </c>
      <c r="N29" s="72" t="e">
        <f>IF('Growing data-Input'!E40&gt;0,'Growing data-Input'!E40,#N/A)</f>
        <v>#N/A</v>
      </c>
      <c r="P29" s="78" t="e">
        <f t="shared" si="13"/>
        <v>#VALUE!</v>
      </c>
      <c r="Q29" s="78" t="e">
        <f t="shared" si="13"/>
        <v>#VALUE!</v>
      </c>
    </row>
    <row r="30" spans="1:22" x14ac:dyDescent="0.2">
      <c r="A30" s="71">
        <v>25</v>
      </c>
      <c r="B30" s="7">
        <f t="shared" si="6"/>
        <v>3.4285714285714275</v>
      </c>
      <c r="C30" s="74" t="e">
        <f t="shared" si="11"/>
        <v>#VALUE!</v>
      </c>
      <c r="D30" s="74" t="e">
        <f t="shared" si="11"/>
        <v>#VALUE!</v>
      </c>
      <c r="E30" s="74" t="e">
        <f t="shared" si="11"/>
        <v>#VALUE!</v>
      </c>
      <c r="F30" s="74" t="e">
        <f t="shared" si="11"/>
        <v>#VALUE!</v>
      </c>
      <c r="G30" s="74" t="e">
        <f t="shared" si="11"/>
        <v>#VALUE!</v>
      </c>
      <c r="H30" s="75" t="e">
        <f t="shared" si="2"/>
        <v>#VALUE!</v>
      </c>
      <c r="I30" s="74" t="e">
        <f t="shared" si="12"/>
        <v>#VALUE!</v>
      </c>
      <c r="J30" s="74" t="e">
        <f t="shared" si="12"/>
        <v>#VALUE!</v>
      </c>
      <c r="K30" s="74" t="e">
        <f t="shared" si="12"/>
        <v>#VALUE!</v>
      </c>
      <c r="L30" s="74" t="e">
        <f t="shared" si="12"/>
        <v>#VALUE!</v>
      </c>
      <c r="M30" s="74" t="e">
        <f t="shared" si="12"/>
        <v>#VALUE!</v>
      </c>
      <c r="N30" s="72" t="e">
        <f>IF('Growing data-Input'!E41&gt;0,'Growing data-Input'!E41,#N/A)</f>
        <v>#N/A</v>
      </c>
      <c r="P30" s="78" t="e">
        <f t="shared" si="13"/>
        <v>#VALUE!</v>
      </c>
      <c r="Q30" s="78" t="e">
        <f t="shared" si="13"/>
        <v>#VALUE!</v>
      </c>
    </row>
    <row r="31" spans="1:22" x14ac:dyDescent="0.2">
      <c r="A31" s="71">
        <v>26</v>
      </c>
      <c r="B31" s="7">
        <f t="shared" si="6"/>
        <v>3.5714285714285703</v>
      </c>
      <c r="C31" s="74" t="e">
        <f t="shared" si="11"/>
        <v>#VALUE!</v>
      </c>
      <c r="D31" s="74" t="e">
        <f t="shared" si="11"/>
        <v>#VALUE!</v>
      </c>
      <c r="E31" s="74" t="e">
        <f t="shared" si="11"/>
        <v>#VALUE!</v>
      </c>
      <c r="F31" s="74" t="e">
        <f t="shared" si="11"/>
        <v>#VALUE!</v>
      </c>
      <c r="G31" s="74" t="e">
        <f t="shared" si="11"/>
        <v>#VALUE!</v>
      </c>
      <c r="H31" s="75" t="e">
        <f t="shared" si="2"/>
        <v>#VALUE!</v>
      </c>
      <c r="I31" s="74" t="e">
        <f t="shared" si="12"/>
        <v>#VALUE!</v>
      </c>
      <c r="J31" s="74" t="e">
        <f t="shared" si="12"/>
        <v>#VALUE!</v>
      </c>
      <c r="K31" s="74" t="e">
        <f t="shared" si="12"/>
        <v>#VALUE!</v>
      </c>
      <c r="L31" s="74" t="e">
        <f t="shared" si="12"/>
        <v>#VALUE!</v>
      </c>
      <c r="M31" s="74" t="e">
        <f t="shared" si="12"/>
        <v>#VALUE!</v>
      </c>
      <c r="N31" s="72" t="e">
        <f>IF('Growing data-Input'!E42&gt;0,'Growing data-Input'!E42,#N/A)</f>
        <v>#N/A</v>
      </c>
      <c r="P31" s="78" t="e">
        <f t="shared" si="13"/>
        <v>#VALUE!</v>
      </c>
      <c r="Q31" s="78" t="e">
        <f t="shared" si="13"/>
        <v>#VALUE!</v>
      </c>
    </row>
    <row r="32" spans="1:22" x14ac:dyDescent="0.2">
      <c r="A32" s="71">
        <v>27</v>
      </c>
      <c r="B32" s="7">
        <f t="shared" si="6"/>
        <v>3.7142857142857131</v>
      </c>
      <c r="C32" s="74" t="e">
        <f t="shared" si="11"/>
        <v>#VALUE!</v>
      </c>
      <c r="D32" s="74" t="e">
        <f t="shared" si="11"/>
        <v>#VALUE!</v>
      </c>
      <c r="E32" s="74" t="e">
        <f t="shared" si="11"/>
        <v>#VALUE!</v>
      </c>
      <c r="F32" s="74" t="e">
        <f t="shared" si="11"/>
        <v>#VALUE!</v>
      </c>
      <c r="G32" s="74" t="e">
        <f t="shared" si="11"/>
        <v>#VALUE!</v>
      </c>
      <c r="H32" s="75" t="e">
        <f t="shared" si="2"/>
        <v>#VALUE!</v>
      </c>
      <c r="I32" s="74" t="e">
        <f t="shared" si="12"/>
        <v>#VALUE!</v>
      </c>
      <c r="J32" s="74" t="e">
        <f t="shared" si="12"/>
        <v>#VALUE!</v>
      </c>
      <c r="K32" s="74" t="e">
        <f t="shared" si="12"/>
        <v>#VALUE!</v>
      </c>
      <c r="L32" s="74" t="e">
        <f t="shared" si="12"/>
        <v>#VALUE!</v>
      </c>
      <c r="M32" s="74" t="e">
        <f t="shared" si="12"/>
        <v>#VALUE!</v>
      </c>
      <c r="N32" s="72" t="e">
        <f>IF('Growing data-Input'!E43&gt;0,'Growing data-Input'!E43,#N/A)</f>
        <v>#N/A</v>
      </c>
      <c r="P32" s="78" t="e">
        <f t="shared" si="13"/>
        <v>#VALUE!</v>
      </c>
      <c r="Q32" s="78" t="e">
        <f t="shared" si="13"/>
        <v>#VALUE!</v>
      </c>
    </row>
    <row r="33" spans="1:17" x14ac:dyDescent="0.2">
      <c r="A33" s="71">
        <v>28</v>
      </c>
      <c r="B33" s="7">
        <f t="shared" si="6"/>
        <v>3.8571428571428559</v>
      </c>
      <c r="C33" s="74" t="e">
        <f t="shared" si="11"/>
        <v>#DIV/0!</v>
      </c>
      <c r="D33" s="74" t="e">
        <f t="shared" si="11"/>
        <v>#DIV/0!</v>
      </c>
      <c r="E33" s="74" t="e">
        <f t="shared" si="11"/>
        <v>#DIV/0!</v>
      </c>
      <c r="F33" s="74" t="e">
        <f t="shared" si="11"/>
        <v>#DIV/0!</v>
      </c>
      <c r="G33" s="74" t="e">
        <f t="shared" si="11"/>
        <v>#DIV/0!</v>
      </c>
      <c r="H33" s="75" t="e">
        <f t="shared" si="2"/>
        <v>#DIV/0!</v>
      </c>
      <c r="I33" s="74" t="e">
        <f t="shared" si="12"/>
        <v>#DIV/0!</v>
      </c>
      <c r="J33" s="74" t="e">
        <f t="shared" si="12"/>
        <v>#DIV/0!</v>
      </c>
      <c r="K33" s="74" t="e">
        <f t="shared" si="12"/>
        <v>#DIV/0!</v>
      </c>
      <c r="L33" s="74" t="e">
        <f t="shared" si="12"/>
        <v>#DIV/0!</v>
      </c>
      <c r="M33" s="74" t="e">
        <f t="shared" si="12"/>
        <v>#DIV/0!</v>
      </c>
      <c r="N33" s="72" t="e">
        <f>IF('Growing data-Input'!E44&gt;0,'Growing data-Input'!E44,#N/A)</f>
        <v>#N/A</v>
      </c>
      <c r="P33" s="78" t="str">
        <f>VLOOKUP($A33,$R$6:$T$24,2,FALSE)</f>
        <v/>
      </c>
      <c r="Q33" s="78" t="str">
        <f>VLOOKUP($A33,$R$6:$T$24,3,FALSE)</f>
        <v/>
      </c>
    </row>
    <row r="34" spans="1:17" x14ac:dyDescent="0.2">
      <c r="A34" s="71">
        <v>29</v>
      </c>
      <c r="B34" s="7">
        <f t="shared" si="6"/>
        <v>3.9999999999999987</v>
      </c>
      <c r="C34" s="74" t="e">
        <f t="shared" si="11"/>
        <v>#VALUE!</v>
      </c>
      <c r="D34" s="74" t="e">
        <f t="shared" si="11"/>
        <v>#VALUE!</v>
      </c>
      <c r="E34" s="74" t="e">
        <f t="shared" si="11"/>
        <v>#VALUE!</v>
      </c>
      <c r="F34" s="74" t="e">
        <f t="shared" si="11"/>
        <v>#VALUE!</v>
      </c>
      <c r="G34" s="74" t="e">
        <f t="shared" si="11"/>
        <v>#VALUE!</v>
      </c>
      <c r="H34" s="75" t="e">
        <f t="shared" si="2"/>
        <v>#VALUE!</v>
      </c>
      <c r="I34" s="74" t="e">
        <f t="shared" si="12"/>
        <v>#VALUE!</v>
      </c>
      <c r="J34" s="74" t="e">
        <f t="shared" si="12"/>
        <v>#VALUE!</v>
      </c>
      <c r="K34" s="74" t="e">
        <f t="shared" si="12"/>
        <v>#VALUE!</v>
      </c>
      <c r="L34" s="74" t="e">
        <f t="shared" si="12"/>
        <v>#VALUE!</v>
      </c>
      <c r="M34" s="74" t="e">
        <f t="shared" si="12"/>
        <v>#VALUE!</v>
      </c>
      <c r="N34" s="72" t="e">
        <f>IF('Growing data-Input'!E45&gt;0,'Growing data-Input'!E45,#N/A)</f>
        <v>#N/A</v>
      </c>
      <c r="P34" s="78" t="e">
        <f t="shared" ref="P34:Q39" si="14">P33+$U$11/7</f>
        <v>#VALUE!</v>
      </c>
      <c r="Q34" s="78" t="e">
        <f t="shared" si="14"/>
        <v>#VALUE!</v>
      </c>
    </row>
    <row r="35" spans="1:17" x14ac:dyDescent="0.2">
      <c r="A35" s="71">
        <v>30</v>
      </c>
      <c r="B35" s="7">
        <f t="shared" si="6"/>
        <v>4.1428571428571415</v>
      </c>
      <c r="C35" s="74" t="e">
        <f t="shared" si="11"/>
        <v>#VALUE!</v>
      </c>
      <c r="D35" s="74" t="e">
        <f t="shared" si="11"/>
        <v>#VALUE!</v>
      </c>
      <c r="E35" s="74" t="e">
        <f t="shared" si="11"/>
        <v>#VALUE!</v>
      </c>
      <c r="F35" s="74" t="e">
        <f t="shared" si="11"/>
        <v>#VALUE!</v>
      </c>
      <c r="G35" s="74" t="e">
        <f t="shared" si="11"/>
        <v>#VALUE!</v>
      </c>
      <c r="H35" s="75" t="e">
        <f t="shared" si="2"/>
        <v>#VALUE!</v>
      </c>
      <c r="I35" s="74" t="e">
        <f t="shared" si="12"/>
        <v>#VALUE!</v>
      </c>
      <c r="J35" s="74" t="e">
        <f t="shared" si="12"/>
        <v>#VALUE!</v>
      </c>
      <c r="K35" s="74" t="e">
        <f t="shared" si="12"/>
        <v>#VALUE!</v>
      </c>
      <c r="L35" s="74" t="e">
        <f t="shared" si="12"/>
        <v>#VALUE!</v>
      </c>
      <c r="M35" s="74" t="e">
        <f t="shared" si="12"/>
        <v>#VALUE!</v>
      </c>
      <c r="N35" s="72" t="e">
        <f>IF('Growing data-Input'!E46&gt;0,'Growing data-Input'!E46,#N/A)</f>
        <v>#N/A</v>
      </c>
      <c r="P35" s="78" t="e">
        <f t="shared" si="14"/>
        <v>#VALUE!</v>
      </c>
      <c r="Q35" s="78" t="e">
        <f t="shared" si="14"/>
        <v>#VALUE!</v>
      </c>
    </row>
    <row r="36" spans="1:17" x14ac:dyDescent="0.2">
      <c r="A36" s="71">
        <v>31</v>
      </c>
      <c r="B36" s="7">
        <f t="shared" si="6"/>
        <v>4.2857142857142847</v>
      </c>
      <c r="C36" s="74" t="e">
        <f t="shared" ref="C36:G45" si="15">IF((D36*0.994)&lt;$P36,$P36,D36*0.994)</f>
        <v>#VALUE!</v>
      </c>
      <c r="D36" s="74" t="e">
        <f t="shared" si="15"/>
        <v>#VALUE!</v>
      </c>
      <c r="E36" s="74" t="e">
        <f t="shared" si="15"/>
        <v>#VALUE!</v>
      </c>
      <c r="F36" s="74" t="e">
        <f t="shared" si="15"/>
        <v>#VALUE!</v>
      </c>
      <c r="G36" s="74" t="e">
        <f t="shared" si="15"/>
        <v>#VALUE!</v>
      </c>
      <c r="H36" s="75" t="e">
        <f t="shared" si="2"/>
        <v>#VALUE!</v>
      </c>
      <c r="I36" s="74" t="e">
        <f t="shared" ref="I36:M45" si="16">IF((H36*1.006)&gt;$Q36,$Q36,H36*1.006)</f>
        <v>#VALUE!</v>
      </c>
      <c r="J36" s="74" t="e">
        <f t="shared" si="16"/>
        <v>#VALUE!</v>
      </c>
      <c r="K36" s="74" t="e">
        <f t="shared" si="16"/>
        <v>#VALUE!</v>
      </c>
      <c r="L36" s="74" t="e">
        <f t="shared" si="16"/>
        <v>#VALUE!</v>
      </c>
      <c r="M36" s="74" t="e">
        <f t="shared" si="16"/>
        <v>#VALUE!</v>
      </c>
      <c r="N36" s="72" t="e">
        <f>IF('Growing data-Input'!E47&gt;0,'Growing data-Input'!E47,#N/A)</f>
        <v>#N/A</v>
      </c>
      <c r="P36" s="78" t="e">
        <f t="shared" si="14"/>
        <v>#VALUE!</v>
      </c>
      <c r="Q36" s="78" t="e">
        <f t="shared" si="14"/>
        <v>#VALUE!</v>
      </c>
    </row>
    <row r="37" spans="1:17" x14ac:dyDescent="0.2">
      <c r="A37" s="71">
        <v>32</v>
      </c>
      <c r="B37" s="7">
        <f t="shared" si="6"/>
        <v>4.4285714285714279</v>
      </c>
      <c r="C37" s="74" t="e">
        <f t="shared" si="15"/>
        <v>#VALUE!</v>
      </c>
      <c r="D37" s="74" t="e">
        <f t="shared" si="15"/>
        <v>#VALUE!</v>
      </c>
      <c r="E37" s="74" t="e">
        <f t="shared" si="15"/>
        <v>#VALUE!</v>
      </c>
      <c r="F37" s="74" t="e">
        <f t="shared" si="15"/>
        <v>#VALUE!</v>
      </c>
      <c r="G37" s="74" t="e">
        <f t="shared" si="15"/>
        <v>#VALUE!</v>
      </c>
      <c r="H37" s="75" t="e">
        <f t="shared" si="2"/>
        <v>#VALUE!</v>
      </c>
      <c r="I37" s="74" t="e">
        <f t="shared" si="16"/>
        <v>#VALUE!</v>
      </c>
      <c r="J37" s="74" t="e">
        <f t="shared" si="16"/>
        <v>#VALUE!</v>
      </c>
      <c r="K37" s="74" t="e">
        <f t="shared" si="16"/>
        <v>#VALUE!</v>
      </c>
      <c r="L37" s="74" t="e">
        <f t="shared" si="16"/>
        <v>#VALUE!</v>
      </c>
      <c r="M37" s="74" t="e">
        <f t="shared" si="16"/>
        <v>#VALUE!</v>
      </c>
      <c r="N37" s="72" t="e">
        <f>IF('Growing data-Input'!E48&gt;0,'Growing data-Input'!E48,#N/A)</f>
        <v>#N/A</v>
      </c>
      <c r="P37" s="78" t="e">
        <f t="shared" si="14"/>
        <v>#VALUE!</v>
      </c>
      <c r="Q37" s="78" t="e">
        <f t="shared" si="14"/>
        <v>#VALUE!</v>
      </c>
    </row>
    <row r="38" spans="1:17" x14ac:dyDescent="0.2">
      <c r="A38" s="71">
        <v>33</v>
      </c>
      <c r="B38" s="7">
        <f t="shared" si="6"/>
        <v>4.5714285714285712</v>
      </c>
      <c r="C38" s="74" t="e">
        <f t="shared" si="15"/>
        <v>#VALUE!</v>
      </c>
      <c r="D38" s="74" t="e">
        <f t="shared" si="15"/>
        <v>#VALUE!</v>
      </c>
      <c r="E38" s="74" t="e">
        <f t="shared" si="15"/>
        <v>#VALUE!</v>
      </c>
      <c r="F38" s="74" t="e">
        <f t="shared" si="15"/>
        <v>#VALUE!</v>
      </c>
      <c r="G38" s="74" t="e">
        <f t="shared" si="15"/>
        <v>#VALUE!</v>
      </c>
      <c r="H38" s="75" t="e">
        <f t="shared" si="2"/>
        <v>#VALUE!</v>
      </c>
      <c r="I38" s="74" t="e">
        <f t="shared" si="16"/>
        <v>#VALUE!</v>
      </c>
      <c r="J38" s="74" t="e">
        <f t="shared" si="16"/>
        <v>#VALUE!</v>
      </c>
      <c r="K38" s="74" t="e">
        <f t="shared" si="16"/>
        <v>#VALUE!</v>
      </c>
      <c r="L38" s="74" t="e">
        <f t="shared" si="16"/>
        <v>#VALUE!</v>
      </c>
      <c r="M38" s="74" t="e">
        <f t="shared" si="16"/>
        <v>#VALUE!</v>
      </c>
      <c r="N38" s="72" t="e">
        <f>IF('Growing data-Input'!E49&gt;0,'Growing data-Input'!E49,#N/A)</f>
        <v>#N/A</v>
      </c>
      <c r="P38" s="78" t="e">
        <f t="shared" si="14"/>
        <v>#VALUE!</v>
      </c>
      <c r="Q38" s="78" t="e">
        <f t="shared" si="14"/>
        <v>#VALUE!</v>
      </c>
    </row>
    <row r="39" spans="1:17" x14ac:dyDescent="0.2">
      <c r="A39" s="71">
        <v>34</v>
      </c>
      <c r="B39" s="7">
        <f t="shared" si="6"/>
        <v>4.7142857142857144</v>
      </c>
      <c r="C39" s="74" t="e">
        <f t="shared" si="15"/>
        <v>#VALUE!</v>
      </c>
      <c r="D39" s="74" t="e">
        <f t="shared" si="15"/>
        <v>#VALUE!</v>
      </c>
      <c r="E39" s="74" t="e">
        <f t="shared" si="15"/>
        <v>#VALUE!</v>
      </c>
      <c r="F39" s="74" t="e">
        <f t="shared" si="15"/>
        <v>#VALUE!</v>
      </c>
      <c r="G39" s="74" t="e">
        <f t="shared" si="15"/>
        <v>#VALUE!</v>
      </c>
      <c r="H39" s="75" t="e">
        <f t="shared" si="2"/>
        <v>#VALUE!</v>
      </c>
      <c r="I39" s="74" t="e">
        <f t="shared" si="16"/>
        <v>#VALUE!</v>
      </c>
      <c r="J39" s="74" t="e">
        <f t="shared" si="16"/>
        <v>#VALUE!</v>
      </c>
      <c r="K39" s="74" t="e">
        <f t="shared" si="16"/>
        <v>#VALUE!</v>
      </c>
      <c r="L39" s="74" t="e">
        <f t="shared" si="16"/>
        <v>#VALUE!</v>
      </c>
      <c r="M39" s="74" t="e">
        <f t="shared" si="16"/>
        <v>#VALUE!</v>
      </c>
      <c r="N39" s="72" t="e">
        <f>IF('Growing data-Input'!E50&gt;0,'Growing data-Input'!E50,#N/A)</f>
        <v>#N/A</v>
      </c>
      <c r="P39" s="78" t="e">
        <f t="shared" si="14"/>
        <v>#VALUE!</v>
      </c>
      <c r="Q39" s="78" t="e">
        <f t="shared" si="14"/>
        <v>#VALUE!</v>
      </c>
    </row>
    <row r="40" spans="1:17" x14ac:dyDescent="0.2">
      <c r="A40" s="71">
        <v>35</v>
      </c>
      <c r="B40" s="7">
        <f t="shared" si="6"/>
        <v>4.8571428571428577</v>
      </c>
      <c r="C40" s="74" t="e">
        <f t="shared" si="15"/>
        <v>#DIV/0!</v>
      </c>
      <c r="D40" s="74" t="e">
        <f t="shared" si="15"/>
        <v>#DIV/0!</v>
      </c>
      <c r="E40" s="74" t="e">
        <f t="shared" si="15"/>
        <v>#DIV/0!</v>
      </c>
      <c r="F40" s="74" t="e">
        <f t="shared" si="15"/>
        <v>#DIV/0!</v>
      </c>
      <c r="G40" s="74" t="e">
        <f t="shared" si="15"/>
        <v>#DIV/0!</v>
      </c>
      <c r="H40" s="75" t="e">
        <f t="shared" si="2"/>
        <v>#DIV/0!</v>
      </c>
      <c r="I40" s="74" t="e">
        <f t="shared" si="16"/>
        <v>#DIV/0!</v>
      </c>
      <c r="J40" s="74" t="e">
        <f t="shared" si="16"/>
        <v>#DIV/0!</v>
      </c>
      <c r="K40" s="74" t="e">
        <f t="shared" si="16"/>
        <v>#DIV/0!</v>
      </c>
      <c r="L40" s="74" t="e">
        <f t="shared" si="16"/>
        <v>#DIV/0!</v>
      </c>
      <c r="M40" s="74" t="e">
        <f t="shared" si="16"/>
        <v>#DIV/0!</v>
      </c>
      <c r="N40" s="72" t="e">
        <f>IF('Growing data-Input'!E51&gt;0,'Growing data-Input'!E51,#N/A)</f>
        <v>#N/A</v>
      </c>
      <c r="P40" s="78" t="str">
        <f>VLOOKUP($A40,$R$6:$T$24,2,FALSE)</f>
        <v/>
      </c>
      <c r="Q40" s="78" t="str">
        <f>VLOOKUP($A40,$R$6:$T$24,3,FALSE)</f>
        <v/>
      </c>
    </row>
    <row r="41" spans="1:17" x14ac:dyDescent="0.2">
      <c r="A41" s="71">
        <v>36</v>
      </c>
      <c r="B41" s="7">
        <f t="shared" si="6"/>
        <v>5.0000000000000009</v>
      </c>
      <c r="C41" s="74" t="e">
        <f t="shared" si="15"/>
        <v>#VALUE!</v>
      </c>
      <c r="D41" s="74" t="e">
        <f t="shared" si="15"/>
        <v>#VALUE!</v>
      </c>
      <c r="E41" s="74" t="e">
        <f t="shared" si="15"/>
        <v>#VALUE!</v>
      </c>
      <c r="F41" s="74" t="e">
        <f t="shared" si="15"/>
        <v>#VALUE!</v>
      </c>
      <c r="G41" s="74" t="e">
        <f t="shared" si="15"/>
        <v>#VALUE!</v>
      </c>
      <c r="H41" s="75" t="e">
        <f t="shared" si="2"/>
        <v>#VALUE!</v>
      </c>
      <c r="I41" s="74" t="e">
        <f t="shared" si="16"/>
        <v>#VALUE!</v>
      </c>
      <c r="J41" s="74" t="e">
        <f t="shared" si="16"/>
        <v>#VALUE!</v>
      </c>
      <c r="K41" s="74" t="e">
        <f t="shared" si="16"/>
        <v>#VALUE!</v>
      </c>
      <c r="L41" s="74" t="e">
        <f t="shared" si="16"/>
        <v>#VALUE!</v>
      </c>
      <c r="M41" s="74" t="e">
        <f t="shared" si="16"/>
        <v>#VALUE!</v>
      </c>
      <c r="N41" s="72" t="e">
        <f>IF('Growing data-Input'!E52&gt;0,'Growing data-Input'!E52,#N/A)</f>
        <v>#N/A</v>
      </c>
      <c r="P41" s="78" t="e">
        <f t="shared" ref="P41:Q46" si="17">P40+$U$12/7</f>
        <v>#VALUE!</v>
      </c>
      <c r="Q41" s="78" t="e">
        <f t="shared" si="17"/>
        <v>#VALUE!</v>
      </c>
    </row>
    <row r="42" spans="1:17" x14ac:dyDescent="0.2">
      <c r="A42" s="71">
        <v>37</v>
      </c>
      <c r="B42" s="7">
        <f t="shared" si="6"/>
        <v>5.1428571428571441</v>
      </c>
      <c r="C42" s="74" t="e">
        <f t="shared" si="15"/>
        <v>#VALUE!</v>
      </c>
      <c r="D42" s="74" t="e">
        <f t="shared" si="15"/>
        <v>#VALUE!</v>
      </c>
      <c r="E42" s="74" t="e">
        <f t="shared" si="15"/>
        <v>#VALUE!</v>
      </c>
      <c r="F42" s="74" t="e">
        <f t="shared" si="15"/>
        <v>#VALUE!</v>
      </c>
      <c r="G42" s="74" t="e">
        <f t="shared" si="15"/>
        <v>#VALUE!</v>
      </c>
      <c r="H42" s="75" t="e">
        <f t="shared" si="2"/>
        <v>#VALUE!</v>
      </c>
      <c r="I42" s="74" t="e">
        <f t="shared" si="16"/>
        <v>#VALUE!</v>
      </c>
      <c r="J42" s="74" t="e">
        <f t="shared" si="16"/>
        <v>#VALUE!</v>
      </c>
      <c r="K42" s="74" t="e">
        <f t="shared" si="16"/>
        <v>#VALUE!</v>
      </c>
      <c r="L42" s="74" t="e">
        <f t="shared" si="16"/>
        <v>#VALUE!</v>
      </c>
      <c r="M42" s="74" t="e">
        <f t="shared" si="16"/>
        <v>#VALUE!</v>
      </c>
      <c r="N42" s="72" t="e">
        <f>IF('Growing data-Input'!E53&gt;0,'Growing data-Input'!E53,#N/A)</f>
        <v>#N/A</v>
      </c>
      <c r="P42" s="78" t="e">
        <f t="shared" si="17"/>
        <v>#VALUE!</v>
      </c>
      <c r="Q42" s="78" t="e">
        <f t="shared" si="17"/>
        <v>#VALUE!</v>
      </c>
    </row>
    <row r="43" spans="1:17" x14ac:dyDescent="0.2">
      <c r="A43" s="71">
        <v>38</v>
      </c>
      <c r="B43" s="7">
        <f t="shared" si="6"/>
        <v>5.2857142857142874</v>
      </c>
      <c r="C43" s="74" t="e">
        <f t="shared" si="15"/>
        <v>#VALUE!</v>
      </c>
      <c r="D43" s="74" t="e">
        <f t="shared" si="15"/>
        <v>#VALUE!</v>
      </c>
      <c r="E43" s="74" t="e">
        <f t="shared" si="15"/>
        <v>#VALUE!</v>
      </c>
      <c r="F43" s="74" t="e">
        <f t="shared" si="15"/>
        <v>#VALUE!</v>
      </c>
      <c r="G43" s="74" t="e">
        <f t="shared" si="15"/>
        <v>#VALUE!</v>
      </c>
      <c r="H43" s="75" t="e">
        <f t="shared" si="2"/>
        <v>#VALUE!</v>
      </c>
      <c r="I43" s="74" t="e">
        <f t="shared" si="16"/>
        <v>#VALUE!</v>
      </c>
      <c r="J43" s="74" t="e">
        <f t="shared" si="16"/>
        <v>#VALUE!</v>
      </c>
      <c r="K43" s="74" t="e">
        <f t="shared" si="16"/>
        <v>#VALUE!</v>
      </c>
      <c r="L43" s="74" t="e">
        <f t="shared" si="16"/>
        <v>#VALUE!</v>
      </c>
      <c r="M43" s="74" t="e">
        <f t="shared" si="16"/>
        <v>#VALUE!</v>
      </c>
      <c r="N43" s="72" t="e">
        <f>IF('Growing data-Input'!E54&gt;0,'Growing data-Input'!E54,#N/A)</f>
        <v>#N/A</v>
      </c>
      <c r="P43" s="78" t="e">
        <f t="shared" si="17"/>
        <v>#VALUE!</v>
      </c>
      <c r="Q43" s="78" t="e">
        <f t="shared" si="17"/>
        <v>#VALUE!</v>
      </c>
    </row>
    <row r="44" spans="1:17" x14ac:dyDescent="0.2">
      <c r="A44" s="71">
        <v>39</v>
      </c>
      <c r="B44" s="7">
        <f t="shared" si="6"/>
        <v>5.4285714285714306</v>
      </c>
      <c r="C44" s="74" t="e">
        <f t="shared" si="15"/>
        <v>#VALUE!</v>
      </c>
      <c r="D44" s="74" t="e">
        <f t="shared" si="15"/>
        <v>#VALUE!</v>
      </c>
      <c r="E44" s="74" t="e">
        <f t="shared" si="15"/>
        <v>#VALUE!</v>
      </c>
      <c r="F44" s="74" t="e">
        <f t="shared" si="15"/>
        <v>#VALUE!</v>
      </c>
      <c r="G44" s="74" t="e">
        <f t="shared" si="15"/>
        <v>#VALUE!</v>
      </c>
      <c r="H44" s="75" t="e">
        <f t="shared" si="2"/>
        <v>#VALUE!</v>
      </c>
      <c r="I44" s="74" t="e">
        <f t="shared" si="16"/>
        <v>#VALUE!</v>
      </c>
      <c r="J44" s="74" t="e">
        <f t="shared" si="16"/>
        <v>#VALUE!</v>
      </c>
      <c r="K44" s="74" t="e">
        <f t="shared" si="16"/>
        <v>#VALUE!</v>
      </c>
      <c r="L44" s="74" t="e">
        <f t="shared" si="16"/>
        <v>#VALUE!</v>
      </c>
      <c r="M44" s="74" t="e">
        <f t="shared" si="16"/>
        <v>#VALUE!</v>
      </c>
      <c r="N44" s="72" t="e">
        <f>IF('Growing data-Input'!E55&gt;0,'Growing data-Input'!E55,#N/A)</f>
        <v>#N/A</v>
      </c>
      <c r="P44" s="78" t="e">
        <f t="shared" si="17"/>
        <v>#VALUE!</v>
      </c>
      <c r="Q44" s="78" t="e">
        <f t="shared" si="17"/>
        <v>#VALUE!</v>
      </c>
    </row>
    <row r="45" spans="1:17" x14ac:dyDescent="0.2">
      <c r="A45" s="71">
        <v>40</v>
      </c>
      <c r="B45" s="7">
        <f t="shared" si="6"/>
        <v>5.5714285714285738</v>
      </c>
      <c r="C45" s="74" t="e">
        <f t="shared" si="15"/>
        <v>#VALUE!</v>
      </c>
      <c r="D45" s="74" t="e">
        <f t="shared" si="15"/>
        <v>#VALUE!</v>
      </c>
      <c r="E45" s="74" t="e">
        <f t="shared" si="15"/>
        <v>#VALUE!</v>
      </c>
      <c r="F45" s="74" t="e">
        <f t="shared" si="15"/>
        <v>#VALUE!</v>
      </c>
      <c r="G45" s="74" t="e">
        <f t="shared" si="15"/>
        <v>#VALUE!</v>
      </c>
      <c r="H45" s="75" t="e">
        <f t="shared" si="2"/>
        <v>#VALUE!</v>
      </c>
      <c r="I45" s="74" t="e">
        <f t="shared" si="16"/>
        <v>#VALUE!</v>
      </c>
      <c r="J45" s="74" t="e">
        <f t="shared" si="16"/>
        <v>#VALUE!</v>
      </c>
      <c r="K45" s="74" t="e">
        <f t="shared" si="16"/>
        <v>#VALUE!</v>
      </c>
      <c r="L45" s="74" t="e">
        <f t="shared" si="16"/>
        <v>#VALUE!</v>
      </c>
      <c r="M45" s="74" t="e">
        <f t="shared" si="16"/>
        <v>#VALUE!</v>
      </c>
      <c r="N45" s="72" t="e">
        <f>IF('Growing data-Input'!E56&gt;0,'Growing data-Input'!E56,#N/A)</f>
        <v>#N/A</v>
      </c>
      <c r="P45" s="78" t="e">
        <f t="shared" si="17"/>
        <v>#VALUE!</v>
      </c>
      <c r="Q45" s="78" t="e">
        <f t="shared" si="17"/>
        <v>#VALUE!</v>
      </c>
    </row>
    <row r="46" spans="1:17" x14ac:dyDescent="0.2">
      <c r="A46" s="71">
        <v>41</v>
      </c>
      <c r="B46" s="7">
        <f t="shared" si="6"/>
        <v>5.7142857142857171</v>
      </c>
      <c r="C46" s="74" t="e">
        <f t="shared" ref="C46:G55" si="18">IF((D46*0.994)&lt;$P46,$P46,D46*0.994)</f>
        <v>#VALUE!</v>
      </c>
      <c r="D46" s="74" t="e">
        <f t="shared" si="18"/>
        <v>#VALUE!</v>
      </c>
      <c r="E46" s="74" t="e">
        <f t="shared" si="18"/>
        <v>#VALUE!</v>
      </c>
      <c r="F46" s="74" t="e">
        <f t="shared" si="18"/>
        <v>#VALUE!</v>
      </c>
      <c r="G46" s="74" t="e">
        <f t="shared" si="18"/>
        <v>#VALUE!</v>
      </c>
      <c r="H46" s="75" t="e">
        <f t="shared" si="2"/>
        <v>#VALUE!</v>
      </c>
      <c r="I46" s="74" t="e">
        <f t="shared" ref="I46:M55" si="19">IF((H46*1.006)&gt;$Q46,$Q46,H46*1.006)</f>
        <v>#VALUE!</v>
      </c>
      <c r="J46" s="74" t="e">
        <f t="shared" si="19"/>
        <v>#VALUE!</v>
      </c>
      <c r="K46" s="74" t="e">
        <f t="shared" si="19"/>
        <v>#VALUE!</v>
      </c>
      <c r="L46" s="74" t="e">
        <f t="shared" si="19"/>
        <v>#VALUE!</v>
      </c>
      <c r="M46" s="74" t="e">
        <f t="shared" si="19"/>
        <v>#VALUE!</v>
      </c>
      <c r="N46" s="72" t="e">
        <f>IF('Growing data-Input'!E57&gt;0,'Growing data-Input'!E57,#N/A)</f>
        <v>#N/A</v>
      </c>
      <c r="P46" s="78" t="e">
        <f t="shared" si="17"/>
        <v>#VALUE!</v>
      </c>
      <c r="Q46" s="78" t="e">
        <f t="shared" si="17"/>
        <v>#VALUE!</v>
      </c>
    </row>
    <row r="47" spans="1:17" x14ac:dyDescent="0.2">
      <c r="A47" s="71">
        <v>42</v>
      </c>
      <c r="B47" s="7">
        <f t="shared" si="6"/>
        <v>5.8571428571428603</v>
      </c>
      <c r="C47" s="74" t="e">
        <f t="shared" si="18"/>
        <v>#DIV/0!</v>
      </c>
      <c r="D47" s="74" t="e">
        <f t="shared" si="18"/>
        <v>#DIV/0!</v>
      </c>
      <c r="E47" s="74" t="e">
        <f t="shared" si="18"/>
        <v>#DIV/0!</v>
      </c>
      <c r="F47" s="74" t="e">
        <f t="shared" si="18"/>
        <v>#DIV/0!</v>
      </c>
      <c r="G47" s="74" t="e">
        <f t="shared" si="18"/>
        <v>#DIV/0!</v>
      </c>
      <c r="H47" s="75" t="e">
        <f t="shared" si="2"/>
        <v>#DIV/0!</v>
      </c>
      <c r="I47" s="74" t="e">
        <f t="shared" si="19"/>
        <v>#DIV/0!</v>
      </c>
      <c r="J47" s="74" t="e">
        <f t="shared" si="19"/>
        <v>#DIV/0!</v>
      </c>
      <c r="K47" s="74" t="e">
        <f t="shared" si="19"/>
        <v>#DIV/0!</v>
      </c>
      <c r="L47" s="74" t="e">
        <f t="shared" si="19"/>
        <v>#DIV/0!</v>
      </c>
      <c r="M47" s="74" t="e">
        <f t="shared" si="19"/>
        <v>#DIV/0!</v>
      </c>
      <c r="N47" s="72" t="e">
        <f>IF('Growing data-Input'!E58&gt;0,'Growing data-Input'!E58,#N/A)</f>
        <v>#N/A</v>
      </c>
      <c r="P47" s="78" t="str">
        <f>VLOOKUP($A47,$R$6:$T$24,2,FALSE)</f>
        <v/>
      </c>
      <c r="Q47" s="78" t="str">
        <f>VLOOKUP($A47,$R$6:$T$24,3,FALSE)</f>
        <v/>
      </c>
    </row>
    <row r="48" spans="1:17" x14ac:dyDescent="0.2">
      <c r="A48" s="71">
        <v>43</v>
      </c>
      <c r="B48" s="7">
        <f t="shared" si="6"/>
        <v>6.0000000000000036</v>
      </c>
      <c r="C48" s="74" t="e">
        <f t="shared" si="18"/>
        <v>#VALUE!</v>
      </c>
      <c r="D48" s="74" t="e">
        <f t="shared" si="18"/>
        <v>#VALUE!</v>
      </c>
      <c r="E48" s="74" t="e">
        <f t="shared" si="18"/>
        <v>#VALUE!</v>
      </c>
      <c r="F48" s="74" t="e">
        <f t="shared" si="18"/>
        <v>#VALUE!</v>
      </c>
      <c r="G48" s="74" t="e">
        <f t="shared" si="18"/>
        <v>#VALUE!</v>
      </c>
      <c r="H48" s="75" t="e">
        <f t="shared" si="2"/>
        <v>#VALUE!</v>
      </c>
      <c r="I48" s="74" t="e">
        <f t="shared" si="19"/>
        <v>#VALUE!</v>
      </c>
      <c r="J48" s="74" t="e">
        <f t="shared" si="19"/>
        <v>#VALUE!</v>
      </c>
      <c r="K48" s="74" t="e">
        <f t="shared" si="19"/>
        <v>#VALUE!</v>
      </c>
      <c r="L48" s="74" t="e">
        <f t="shared" si="19"/>
        <v>#VALUE!</v>
      </c>
      <c r="M48" s="74" t="e">
        <f t="shared" si="19"/>
        <v>#VALUE!</v>
      </c>
      <c r="N48" s="72" t="e">
        <f>IF('Growing data-Input'!E59&gt;0,'Growing data-Input'!E59,#N/A)</f>
        <v>#N/A</v>
      </c>
      <c r="P48" s="78" t="e">
        <f t="shared" ref="P48:Q53" si="20">P47+$U$13/7</f>
        <v>#VALUE!</v>
      </c>
      <c r="Q48" s="78" t="e">
        <f t="shared" si="20"/>
        <v>#VALUE!</v>
      </c>
    </row>
    <row r="49" spans="1:17" x14ac:dyDescent="0.2">
      <c r="A49" s="71">
        <v>44</v>
      </c>
      <c r="B49" s="7">
        <f t="shared" si="6"/>
        <v>6.1428571428571468</v>
      </c>
      <c r="C49" s="74" t="e">
        <f t="shared" si="18"/>
        <v>#VALUE!</v>
      </c>
      <c r="D49" s="74" t="e">
        <f t="shared" si="18"/>
        <v>#VALUE!</v>
      </c>
      <c r="E49" s="74" t="e">
        <f t="shared" si="18"/>
        <v>#VALUE!</v>
      </c>
      <c r="F49" s="74" t="e">
        <f t="shared" si="18"/>
        <v>#VALUE!</v>
      </c>
      <c r="G49" s="74" t="e">
        <f t="shared" si="18"/>
        <v>#VALUE!</v>
      </c>
      <c r="H49" s="75" t="e">
        <f t="shared" si="2"/>
        <v>#VALUE!</v>
      </c>
      <c r="I49" s="74" t="e">
        <f t="shared" si="19"/>
        <v>#VALUE!</v>
      </c>
      <c r="J49" s="74" t="e">
        <f t="shared" si="19"/>
        <v>#VALUE!</v>
      </c>
      <c r="K49" s="74" t="e">
        <f t="shared" si="19"/>
        <v>#VALUE!</v>
      </c>
      <c r="L49" s="74" t="e">
        <f t="shared" si="19"/>
        <v>#VALUE!</v>
      </c>
      <c r="M49" s="74" t="e">
        <f t="shared" si="19"/>
        <v>#VALUE!</v>
      </c>
      <c r="N49" s="72" t="e">
        <f>IF('Growing data-Input'!E60&gt;0,'Growing data-Input'!E60,#N/A)</f>
        <v>#N/A</v>
      </c>
      <c r="P49" s="78" t="e">
        <f t="shared" si="20"/>
        <v>#VALUE!</v>
      </c>
      <c r="Q49" s="78" t="e">
        <f t="shared" si="20"/>
        <v>#VALUE!</v>
      </c>
    </row>
    <row r="50" spans="1:17" x14ac:dyDescent="0.2">
      <c r="A50" s="71">
        <v>45</v>
      </c>
      <c r="B50" s="7">
        <f t="shared" si="6"/>
        <v>6.28571428571429</v>
      </c>
      <c r="C50" s="74" t="e">
        <f t="shared" si="18"/>
        <v>#VALUE!</v>
      </c>
      <c r="D50" s="74" t="e">
        <f t="shared" si="18"/>
        <v>#VALUE!</v>
      </c>
      <c r="E50" s="74" t="e">
        <f t="shared" si="18"/>
        <v>#VALUE!</v>
      </c>
      <c r="F50" s="74" t="e">
        <f t="shared" si="18"/>
        <v>#VALUE!</v>
      </c>
      <c r="G50" s="74" t="e">
        <f t="shared" si="18"/>
        <v>#VALUE!</v>
      </c>
      <c r="H50" s="75" t="e">
        <f t="shared" si="2"/>
        <v>#VALUE!</v>
      </c>
      <c r="I50" s="74" t="e">
        <f t="shared" si="19"/>
        <v>#VALUE!</v>
      </c>
      <c r="J50" s="74" t="e">
        <f t="shared" si="19"/>
        <v>#VALUE!</v>
      </c>
      <c r="K50" s="74" t="e">
        <f t="shared" si="19"/>
        <v>#VALUE!</v>
      </c>
      <c r="L50" s="74" t="e">
        <f t="shared" si="19"/>
        <v>#VALUE!</v>
      </c>
      <c r="M50" s="74" t="e">
        <f t="shared" si="19"/>
        <v>#VALUE!</v>
      </c>
      <c r="N50" s="72" t="e">
        <f>IF('Growing data-Input'!E61&gt;0,'Growing data-Input'!E61,#N/A)</f>
        <v>#N/A</v>
      </c>
      <c r="P50" s="78" t="e">
        <f t="shared" si="20"/>
        <v>#VALUE!</v>
      </c>
      <c r="Q50" s="78" t="e">
        <f t="shared" si="20"/>
        <v>#VALUE!</v>
      </c>
    </row>
    <row r="51" spans="1:17" x14ac:dyDescent="0.2">
      <c r="A51" s="71">
        <v>46</v>
      </c>
      <c r="B51" s="7">
        <f t="shared" si="6"/>
        <v>6.4285714285714333</v>
      </c>
      <c r="C51" s="74" t="e">
        <f t="shared" si="18"/>
        <v>#VALUE!</v>
      </c>
      <c r="D51" s="74" t="e">
        <f t="shared" si="18"/>
        <v>#VALUE!</v>
      </c>
      <c r="E51" s="74" t="e">
        <f t="shared" si="18"/>
        <v>#VALUE!</v>
      </c>
      <c r="F51" s="74" t="e">
        <f t="shared" si="18"/>
        <v>#VALUE!</v>
      </c>
      <c r="G51" s="74" t="e">
        <f t="shared" si="18"/>
        <v>#VALUE!</v>
      </c>
      <c r="H51" s="75" t="e">
        <f t="shared" si="2"/>
        <v>#VALUE!</v>
      </c>
      <c r="I51" s="74" t="e">
        <f t="shared" si="19"/>
        <v>#VALUE!</v>
      </c>
      <c r="J51" s="74" t="e">
        <f t="shared" si="19"/>
        <v>#VALUE!</v>
      </c>
      <c r="K51" s="74" t="e">
        <f t="shared" si="19"/>
        <v>#VALUE!</v>
      </c>
      <c r="L51" s="74" t="e">
        <f t="shared" si="19"/>
        <v>#VALUE!</v>
      </c>
      <c r="M51" s="74" t="e">
        <f t="shared" si="19"/>
        <v>#VALUE!</v>
      </c>
      <c r="N51" s="72" t="e">
        <f>IF('Growing data-Input'!E62&gt;0,'Growing data-Input'!E62,#N/A)</f>
        <v>#N/A</v>
      </c>
      <c r="P51" s="78" t="e">
        <f t="shared" si="20"/>
        <v>#VALUE!</v>
      </c>
      <c r="Q51" s="78" t="e">
        <f t="shared" si="20"/>
        <v>#VALUE!</v>
      </c>
    </row>
    <row r="52" spans="1:17" x14ac:dyDescent="0.2">
      <c r="A52" s="71">
        <v>47</v>
      </c>
      <c r="B52" s="7">
        <f t="shared" si="6"/>
        <v>6.5714285714285765</v>
      </c>
      <c r="C52" s="74" t="e">
        <f t="shared" si="18"/>
        <v>#VALUE!</v>
      </c>
      <c r="D52" s="74" t="e">
        <f t="shared" si="18"/>
        <v>#VALUE!</v>
      </c>
      <c r="E52" s="74" t="e">
        <f t="shared" si="18"/>
        <v>#VALUE!</v>
      </c>
      <c r="F52" s="74" t="e">
        <f t="shared" si="18"/>
        <v>#VALUE!</v>
      </c>
      <c r="G52" s="74" t="e">
        <f t="shared" si="18"/>
        <v>#VALUE!</v>
      </c>
      <c r="H52" s="75" t="e">
        <f t="shared" si="2"/>
        <v>#VALUE!</v>
      </c>
      <c r="I52" s="74" t="e">
        <f t="shared" si="19"/>
        <v>#VALUE!</v>
      </c>
      <c r="J52" s="74" t="e">
        <f t="shared" si="19"/>
        <v>#VALUE!</v>
      </c>
      <c r="K52" s="74" t="e">
        <f t="shared" si="19"/>
        <v>#VALUE!</v>
      </c>
      <c r="L52" s="74" t="e">
        <f t="shared" si="19"/>
        <v>#VALUE!</v>
      </c>
      <c r="M52" s="74" t="e">
        <f t="shared" si="19"/>
        <v>#VALUE!</v>
      </c>
      <c r="N52" s="72" t="e">
        <f>IF('Growing data-Input'!E63&gt;0,'Growing data-Input'!E63,#N/A)</f>
        <v>#N/A</v>
      </c>
      <c r="P52" s="78" t="e">
        <f t="shared" si="20"/>
        <v>#VALUE!</v>
      </c>
      <c r="Q52" s="78" t="e">
        <f t="shared" si="20"/>
        <v>#VALUE!</v>
      </c>
    </row>
    <row r="53" spans="1:17" x14ac:dyDescent="0.2">
      <c r="A53" s="71">
        <v>48</v>
      </c>
      <c r="B53" s="7">
        <f t="shared" si="6"/>
        <v>6.7142857142857197</v>
      </c>
      <c r="C53" s="74" t="e">
        <f t="shared" si="18"/>
        <v>#VALUE!</v>
      </c>
      <c r="D53" s="74" t="e">
        <f t="shared" si="18"/>
        <v>#VALUE!</v>
      </c>
      <c r="E53" s="74" t="e">
        <f t="shared" si="18"/>
        <v>#VALUE!</v>
      </c>
      <c r="F53" s="74" t="e">
        <f t="shared" si="18"/>
        <v>#VALUE!</v>
      </c>
      <c r="G53" s="74" t="e">
        <f t="shared" si="18"/>
        <v>#VALUE!</v>
      </c>
      <c r="H53" s="75" t="e">
        <f t="shared" si="2"/>
        <v>#VALUE!</v>
      </c>
      <c r="I53" s="74" t="e">
        <f t="shared" si="19"/>
        <v>#VALUE!</v>
      </c>
      <c r="J53" s="74" t="e">
        <f t="shared" si="19"/>
        <v>#VALUE!</v>
      </c>
      <c r="K53" s="74" t="e">
        <f t="shared" si="19"/>
        <v>#VALUE!</v>
      </c>
      <c r="L53" s="74" t="e">
        <f t="shared" si="19"/>
        <v>#VALUE!</v>
      </c>
      <c r="M53" s="74" t="e">
        <f t="shared" si="19"/>
        <v>#VALUE!</v>
      </c>
      <c r="N53" s="72" t="e">
        <f>IF('Growing data-Input'!E64&gt;0,'Growing data-Input'!E64,#N/A)</f>
        <v>#N/A</v>
      </c>
      <c r="P53" s="78" t="e">
        <f t="shared" si="20"/>
        <v>#VALUE!</v>
      </c>
      <c r="Q53" s="78" t="e">
        <f t="shared" si="20"/>
        <v>#VALUE!</v>
      </c>
    </row>
    <row r="54" spans="1:17" x14ac:dyDescent="0.2">
      <c r="A54" s="71">
        <v>49</v>
      </c>
      <c r="B54" s="7">
        <f t="shared" si="6"/>
        <v>6.857142857142863</v>
      </c>
      <c r="C54" s="74" t="e">
        <f t="shared" si="18"/>
        <v>#DIV/0!</v>
      </c>
      <c r="D54" s="74" t="e">
        <f t="shared" si="18"/>
        <v>#DIV/0!</v>
      </c>
      <c r="E54" s="74" t="e">
        <f t="shared" si="18"/>
        <v>#DIV/0!</v>
      </c>
      <c r="F54" s="74" t="e">
        <f t="shared" si="18"/>
        <v>#DIV/0!</v>
      </c>
      <c r="G54" s="74" t="e">
        <f t="shared" si="18"/>
        <v>#DIV/0!</v>
      </c>
      <c r="H54" s="75" t="e">
        <f t="shared" si="2"/>
        <v>#DIV/0!</v>
      </c>
      <c r="I54" s="74" t="e">
        <f t="shared" si="19"/>
        <v>#DIV/0!</v>
      </c>
      <c r="J54" s="74" t="e">
        <f t="shared" si="19"/>
        <v>#DIV/0!</v>
      </c>
      <c r="K54" s="74" t="e">
        <f t="shared" si="19"/>
        <v>#DIV/0!</v>
      </c>
      <c r="L54" s="74" t="e">
        <f t="shared" si="19"/>
        <v>#DIV/0!</v>
      </c>
      <c r="M54" s="74" t="e">
        <f t="shared" si="19"/>
        <v>#DIV/0!</v>
      </c>
      <c r="N54" s="72" t="e">
        <f>IF('Growing data-Input'!E65&gt;0,'Growing data-Input'!E65,#N/A)</f>
        <v>#N/A</v>
      </c>
      <c r="P54" s="78" t="str">
        <f>VLOOKUP($A54,$R$6:$T$24,2,FALSE)</f>
        <v/>
      </c>
      <c r="Q54" s="78" t="str">
        <f>VLOOKUP($A54,$R$6:$T$24,3,FALSE)</f>
        <v/>
      </c>
    </row>
    <row r="55" spans="1:17" x14ac:dyDescent="0.2">
      <c r="A55" s="71">
        <v>50</v>
      </c>
      <c r="B55" s="7">
        <f t="shared" si="6"/>
        <v>7.0000000000000062</v>
      </c>
      <c r="C55" s="74" t="e">
        <f t="shared" si="18"/>
        <v>#VALUE!</v>
      </c>
      <c r="D55" s="74" t="e">
        <f t="shared" si="18"/>
        <v>#VALUE!</v>
      </c>
      <c r="E55" s="74" t="e">
        <f t="shared" si="18"/>
        <v>#VALUE!</v>
      </c>
      <c r="F55" s="74" t="e">
        <f t="shared" si="18"/>
        <v>#VALUE!</v>
      </c>
      <c r="G55" s="74" t="e">
        <f t="shared" si="18"/>
        <v>#VALUE!</v>
      </c>
      <c r="H55" s="75" t="e">
        <f t="shared" si="2"/>
        <v>#VALUE!</v>
      </c>
      <c r="I55" s="74" t="e">
        <f t="shared" si="19"/>
        <v>#VALUE!</v>
      </c>
      <c r="J55" s="74" t="e">
        <f t="shared" si="19"/>
        <v>#VALUE!</v>
      </c>
      <c r="K55" s="74" t="e">
        <f t="shared" si="19"/>
        <v>#VALUE!</v>
      </c>
      <c r="L55" s="74" t="e">
        <f t="shared" si="19"/>
        <v>#VALUE!</v>
      </c>
      <c r="M55" s="74" t="e">
        <f t="shared" si="19"/>
        <v>#VALUE!</v>
      </c>
      <c r="N55" s="72" t="e">
        <f>IF('Growing data-Input'!E66&gt;0,'Growing data-Input'!E66,#N/A)</f>
        <v>#N/A</v>
      </c>
      <c r="P55" s="78" t="e">
        <f t="shared" ref="P55:Q60" si="21">P54+$U$14/7</f>
        <v>#VALUE!</v>
      </c>
      <c r="Q55" s="78" t="e">
        <f t="shared" si="21"/>
        <v>#VALUE!</v>
      </c>
    </row>
    <row r="56" spans="1:17" x14ac:dyDescent="0.2">
      <c r="A56" s="71">
        <v>51</v>
      </c>
      <c r="B56" s="7">
        <f t="shared" si="6"/>
        <v>7.1428571428571495</v>
      </c>
      <c r="C56" s="74" t="e">
        <f t="shared" ref="C56:G65" si="22">IF((D56*0.994)&lt;$P56,$P56,D56*0.994)</f>
        <v>#VALUE!</v>
      </c>
      <c r="D56" s="74" t="e">
        <f t="shared" si="22"/>
        <v>#VALUE!</v>
      </c>
      <c r="E56" s="74" t="e">
        <f t="shared" si="22"/>
        <v>#VALUE!</v>
      </c>
      <c r="F56" s="74" t="e">
        <f t="shared" si="22"/>
        <v>#VALUE!</v>
      </c>
      <c r="G56" s="74" t="e">
        <f t="shared" si="22"/>
        <v>#VALUE!</v>
      </c>
      <c r="H56" s="75" t="e">
        <f t="shared" si="2"/>
        <v>#VALUE!</v>
      </c>
      <c r="I56" s="74" t="e">
        <f t="shared" ref="I56:M65" si="23">IF((H56*1.006)&gt;$Q56,$Q56,H56*1.006)</f>
        <v>#VALUE!</v>
      </c>
      <c r="J56" s="74" t="e">
        <f t="shared" si="23"/>
        <v>#VALUE!</v>
      </c>
      <c r="K56" s="74" t="e">
        <f t="shared" si="23"/>
        <v>#VALUE!</v>
      </c>
      <c r="L56" s="74" t="e">
        <f t="shared" si="23"/>
        <v>#VALUE!</v>
      </c>
      <c r="M56" s="74" t="e">
        <f t="shared" si="23"/>
        <v>#VALUE!</v>
      </c>
      <c r="N56" s="72" t="e">
        <f>IF('Growing data-Input'!E67&gt;0,'Growing data-Input'!E67,#N/A)</f>
        <v>#N/A</v>
      </c>
      <c r="P56" s="78" t="e">
        <f t="shared" si="21"/>
        <v>#VALUE!</v>
      </c>
      <c r="Q56" s="78" t="e">
        <f t="shared" si="21"/>
        <v>#VALUE!</v>
      </c>
    </row>
    <row r="57" spans="1:17" x14ac:dyDescent="0.2">
      <c r="A57" s="71">
        <v>52</v>
      </c>
      <c r="B57" s="7">
        <f t="shared" si="6"/>
        <v>7.2857142857142927</v>
      </c>
      <c r="C57" s="74" t="e">
        <f t="shared" si="22"/>
        <v>#VALUE!</v>
      </c>
      <c r="D57" s="74" t="e">
        <f t="shared" si="22"/>
        <v>#VALUE!</v>
      </c>
      <c r="E57" s="74" t="e">
        <f t="shared" si="22"/>
        <v>#VALUE!</v>
      </c>
      <c r="F57" s="74" t="e">
        <f t="shared" si="22"/>
        <v>#VALUE!</v>
      </c>
      <c r="G57" s="74" t="e">
        <f t="shared" si="22"/>
        <v>#VALUE!</v>
      </c>
      <c r="H57" s="75" t="e">
        <f t="shared" si="2"/>
        <v>#VALUE!</v>
      </c>
      <c r="I57" s="74" t="e">
        <f t="shared" si="23"/>
        <v>#VALUE!</v>
      </c>
      <c r="J57" s="74" t="e">
        <f t="shared" si="23"/>
        <v>#VALUE!</v>
      </c>
      <c r="K57" s="74" t="e">
        <f t="shared" si="23"/>
        <v>#VALUE!</v>
      </c>
      <c r="L57" s="74" t="e">
        <f t="shared" si="23"/>
        <v>#VALUE!</v>
      </c>
      <c r="M57" s="74" t="e">
        <f t="shared" si="23"/>
        <v>#VALUE!</v>
      </c>
      <c r="N57" s="72" t="e">
        <f>IF('Growing data-Input'!E68&gt;0,'Growing data-Input'!E68,#N/A)</f>
        <v>#N/A</v>
      </c>
      <c r="P57" s="78" t="e">
        <f t="shared" si="21"/>
        <v>#VALUE!</v>
      </c>
      <c r="Q57" s="78" t="e">
        <f t="shared" si="21"/>
        <v>#VALUE!</v>
      </c>
    </row>
    <row r="58" spans="1:17" x14ac:dyDescent="0.2">
      <c r="A58" s="71">
        <v>53</v>
      </c>
      <c r="B58" s="7">
        <f t="shared" si="6"/>
        <v>7.4285714285714359</v>
      </c>
      <c r="C58" s="74" t="e">
        <f t="shared" si="22"/>
        <v>#VALUE!</v>
      </c>
      <c r="D58" s="74" t="e">
        <f t="shared" si="22"/>
        <v>#VALUE!</v>
      </c>
      <c r="E58" s="74" t="e">
        <f t="shared" si="22"/>
        <v>#VALUE!</v>
      </c>
      <c r="F58" s="74" t="e">
        <f t="shared" si="22"/>
        <v>#VALUE!</v>
      </c>
      <c r="G58" s="74" t="e">
        <f t="shared" si="22"/>
        <v>#VALUE!</v>
      </c>
      <c r="H58" s="75" t="e">
        <f t="shared" si="2"/>
        <v>#VALUE!</v>
      </c>
      <c r="I58" s="74" t="e">
        <f t="shared" si="23"/>
        <v>#VALUE!</v>
      </c>
      <c r="J58" s="74" t="e">
        <f t="shared" si="23"/>
        <v>#VALUE!</v>
      </c>
      <c r="K58" s="74" t="e">
        <f t="shared" si="23"/>
        <v>#VALUE!</v>
      </c>
      <c r="L58" s="74" t="e">
        <f t="shared" si="23"/>
        <v>#VALUE!</v>
      </c>
      <c r="M58" s="74" t="e">
        <f t="shared" si="23"/>
        <v>#VALUE!</v>
      </c>
      <c r="N58" s="72" t="e">
        <f>IF('Growing data-Input'!E69&gt;0,'Growing data-Input'!E69,#N/A)</f>
        <v>#N/A</v>
      </c>
      <c r="P58" s="78" t="e">
        <f t="shared" si="21"/>
        <v>#VALUE!</v>
      </c>
      <c r="Q58" s="78" t="e">
        <f t="shared" si="21"/>
        <v>#VALUE!</v>
      </c>
    </row>
    <row r="59" spans="1:17" x14ac:dyDescent="0.2">
      <c r="A59" s="71">
        <v>54</v>
      </c>
      <c r="B59" s="7">
        <f t="shared" si="6"/>
        <v>7.5714285714285792</v>
      </c>
      <c r="C59" s="74" t="e">
        <f t="shared" si="22"/>
        <v>#VALUE!</v>
      </c>
      <c r="D59" s="74" t="e">
        <f t="shared" si="22"/>
        <v>#VALUE!</v>
      </c>
      <c r="E59" s="74" t="e">
        <f t="shared" si="22"/>
        <v>#VALUE!</v>
      </c>
      <c r="F59" s="74" t="e">
        <f t="shared" si="22"/>
        <v>#VALUE!</v>
      </c>
      <c r="G59" s="74" t="e">
        <f t="shared" si="22"/>
        <v>#VALUE!</v>
      </c>
      <c r="H59" s="75" t="e">
        <f t="shared" si="2"/>
        <v>#VALUE!</v>
      </c>
      <c r="I59" s="74" t="e">
        <f t="shared" si="23"/>
        <v>#VALUE!</v>
      </c>
      <c r="J59" s="74" t="e">
        <f t="shared" si="23"/>
        <v>#VALUE!</v>
      </c>
      <c r="K59" s="74" t="e">
        <f t="shared" si="23"/>
        <v>#VALUE!</v>
      </c>
      <c r="L59" s="74" t="e">
        <f t="shared" si="23"/>
        <v>#VALUE!</v>
      </c>
      <c r="M59" s="74" t="e">
        <f t="shared" si="23"/>
        <v>#VALUE!</v>
      </c>
      <c r="N59" s="72" t="e">
        <f>IF('Growing data-Input'!E70&gt;0,'Growing data-Input'!E70,#N/A)</f>
        <v>#N/A</v>
      </c>
      <c r="P59" s="78" t="e">
        <f t="shared" si="21"/>
        <v>#VALUE!</v>
      </c>
      <c r="Q59" s="78" t="e">
        <f t="shared" si="21"/>
        <v>#VALUE!</v>
      </c>
    </row>
    <row r="60" spans="1:17" x14ac:dyDescent="0.2">
      <c r="A60" s="71">
        <v>55</v>
      </c>
      <c r="B60" s="7">
        <f t="shared" si="6"/>
        <v>7.7142857142857224</v>
      </c>
      <c r="C60" s="74" t="e">
        <f t="shared" si="22"/>
        <v>#VALUE!</v>
      </c>
      <c r="D60" s="74" t="e">
        <f t="shared" si="22"/>
        <v>#VALUE!</v>
      </c>
      <c r="E60" s="74" t="e">
        <f t="shared" si="22"/>
        <v>#VALUE!</v>
      </c>
      <c r="F60" s="74" t="e">
        <f t="shared" si="22"/>
        <v>#VALUE!</v>
      </c>
      <c r="G60" s="74" t="e">
        <f t="shared" si="22"/>
        <v>#VALUE!</v>
      </c>
      <c r="H60" s="75" t="e">
        <f t="shared" si="2"/>
        <v>#VALUE!</v>
      </c>
      <c r="I60" s="74" t="e">
        <f t="shared" si="23"/>
        <v>#VALUE!</v>
      </c>
      <c r="J60" s="74" t="e">
        <f t="shared" si="23"/>
        <v>#VALUE!</v>
      </c>
      <c r="K60" s="74" t="e">
        <f t="shared" si="23"/>
        <v>#VALUE!</v>
      </c>
      <c r="L60" s="74" t="e">
        <f t="shared" si="23"/>
        <v>#VALUE!</v>
      </c>
      <c r="M60" s="74" t="e">
        <f t="shared" si="23"/>
        <v>#VALUE!</v>
      </c>
      <c r="N60" s="72" t="e">
        <f>IF('Growing data-Input'!E71&gt;0,'Growing data-Input'!E71,#N/A)</f>
        <v>#N/A</v>
      </c>
      <c r="P60" s="78" t="e">
        <f t="shared" si="21"/>
        <v>#VALUE!</v>
      </c>
      <c r="Q60" s="78" t="e">
        <f t="shared" si="21"/>
        <v>#VALUE!</v>
      </c>
    </row>
    <row r="61" spans="1:17" x14ac:dyDescent="0.2">
      <c r="A61" s="71">
        <v>56</v>
      </c>
      <c r="B61" s="7">
        <f t="shared" si="6"/>
        <v>7.8571428571428656</v>
      </c>
      <c r="C61" s="74" t="e">
        <f t="shared" si="22"/>
        <v>#DIV/0!</v>
      </c>
      <c r="D61" s="74" t="e">
        <f t="shared" si="22"/>
        <v>#DIV/0!</v>
      </c>
      <c r="E61" s="74" t="e">
        <f t="shared" si="22"/>
        <v>#DIV/0!</v>
      </c>
      <c r="F61" s="74" t="e">
        <f t="shared" si="22"/>
        <v>#DIV/0!</v>
      </c>
      <c r="G61" s="74" t="e">
        <f t="shared" si="22"/>
        <v>#DIV/0!</v>
      </c>
      <c r="H61" s="75" t="e">
        <f t="shared" si="2"/>
        <v>#DIV/0!</v>
      </c>
      <c r="I61" s="74" t="e">
        <f t="shared" si="23"/>
        <v>#DIV/0!</v>
      </c>
      <c r="J61" s="74" t="e">
        <f t="shared" si="23"/>
        <v>#DIV/0!</v>
      </c>
      <c r="K61" s="74" t="e">
        <f t="shared" si="23"/>
        <v>#DIV/0!</v>
      </c>
      <c r="L61" s="74" t="e">
        <f t="shared" si="23"/>
        <v>#DIV/0!</v>
      </c>
      <c r="M61" s="74" t="e">
        <f t="shared" si="23"/>
        <v>#DIV/0!</v>
      </c>
      <c r="N61" s="72" t="e">
        <f>IF('Growing data-Input'!E72&gt;0,'Growing data-Input'!E72,#N/A)</f>
        <v>#N/A</v>
      </c>
      <c r="P61" s="78" t="str">
        <f>VLOOKUP($A61,$R$6:$T$24,2,FALSE)</f>
        <v/>
      </c>
      <c r="Q61" s="78" t="str">
        <f>VLOOKUP($A61,$R$6:$T$24,3,FALSE)</f>
        <v/>
      </c>
    </row>
    <row r="62" spans="1:17" x14ac:dyDescent="0.2">
      <c r="A62" s="71">
        <v>57</v>
      </c>
      <c r="B62" s="7">
        <f t="shared" si="6"/>
        <v>8.0000000000000089</v>
      </c>
      <c r="C62" s="74" t="e">
        <f t="shared" si="22"/>
        <v>#VALUE!</v>
      </c>
      <c r="D62" s="74" t="e">
        <f t="shared" si="22"/>
        <v>#VALUE!</v>
      </c>
      <c r="E62" s="74" t="e">
        <f t="shared" si="22"/>
        <v>#VALUE!</v>
      </c>
      <c r="F62" s="74" t="e">
        <f t="shared" si="22"/>
        <v>#VALUE!</v>
      </c>
      <c r="G62" s="74" t="e">
        <f t="shared" si="22"/>
        <v>#VALUE!</v>
      </c>
      <c r="H62" s="75" t="e">
        <f t="shared" si="2"/>
        <v>#VALUE!</v>
      </c>
      <c r="I62" s="74" t="e">
        <f t="shared" si="23"/>
        <v>#VALUE!</v>
      </c>
      <c r="J62" s="74" t="e">
        <f t="shared" si="23"/>
        <v>#VALUE!</v>
      </c>
      <c r="K62" s="74" t="e">
        <f t="shared" si="23"/>
        <v>#VALUE!</v>
      </c>
      <c r="L62" s="74" t="e">
        <f t="shared" si="23"/>
        <v>#VALUE!</v>
      </c>
      <c r="M62" s="74" t="e">
        <f t="shared" si="23"/>
        <v>#VALUE!</v>
      </c>
      <c r="N62" s="72" t="e">
        <f>IF('Growing data-Input'!E73&gt;0,'Growing data-Input'!E73,#N/A)</f>
        <v>#N/A</v>
      </c>
      <c r="P62" s="78" t="e">
        <f t="shared" ref="P62:Q67" si="24">P61+$U$15/7</f>
        <v>#VALUE!</v>
      </c>
      <c r="Q62" s="78" t="e">
        <f t="shared" si="24"/>
        <v>#VALUE!</v>
      </c>
    </row>
    <row r="63" spans="1:17" x14ac:dyDescent="0.2">
      <c r="A63" s="71">
        <v>58</v>
      </c>
      <c r="B63" s="7">
        <f t="shared" si="6"/>
        <v>8.1428571428571512</v>
      </c>
      <c r="C63" s="74" t="e">
        <f t="shared" si="22"/>
        <v>#VALUE!</v>
      </c>
      <c r="D63" s="74" t="e">
        <f t="shared" si="22"/>
        <v>#VALUE!</v>
      </c>
      <c r="E63" s="74" t="e">
        <f t="shared" si="22"/>
        <v>#VALUE!</v>
      </c>
      <c r="F63" s="74" t="e">
        <f t="shared" si="22"/>
        <v>#VALUE!</v>
      </c>
      <c r="G63" s="74" t="e">
        <f t="shared" si="22"/>
        <v>#VALUE!</v>
      </c>
      <c r="H63" s="75" t="e">
        <f t="shared" si="2"/>
        <v>#VALUE!</v>
      </c>
      <c r="I63" s="74" t="e">
        <f t="shared" si="23"/>
        <v>#VALUE!</v>
      </c>
      <c r="J63" s="74" t="e">
        <f t="shared" si="23"/>
        <v>#VALUE!</v>
      </c>
      <c r="K63" s="74" t="e">
        <f t="shared" si="23"/>
        <v>#VALUE!</v>
      </c>
      <c r="L63" s="74" t="e">
        <f t="shared" si="23"/>
        <v>#VALUE!</v>
      </c>
      <c r="M63" s="74" t="e">
        <f t="shared" si="23"/>
        <v>#VALUE!</v>
      </c>
      <c r="N63" s="72" t="e">
        <f>IF('Growing data-Input'!E74&gt;0,'Growing data-Input'!E74,#N/A)</f>
        <v>#N/A</v>
      </c>
      <c r="P63" s="78" t="e">
        <f t="shared" si="24"/>
        <v>#VALUE!</v>
      </c>
      <c r="Q63" s="78" t="e">
        <f t="shared" si="24"/>
        <v>#VALUE!</v>
      </c>
    </row>
    <row r="64" spans="1:17" x14ac:dyDescent="0.2">
      <c r="A64" s="71">
        <v>59</v>
      </c>
      <c r="B64" s="7">
        <f t="shared" si="6"/>
        <v>8.2857142857142936</v>
      </c>
      <c r="C64" s="74" t="e">
        <f t="shared" si="22"/>
        <v>#VALUE!</v>
      </c>
      <c r="D64" s="74" t="e">
        <f t="shared" si="22"/>
        <v>#VALUE!</v>
      </c>
      <c r="E64" s="74" t="e">
        <f t="shared" si="22"/>
        <v>#VALUE!</v>
      </c>
      <c r="F64" s="74" t="e">
        <f t="shared" si="22"/>
        <v>#VALUE!</v>
      </c>
      <c r="G64" s="74" t="e">
        <f t="shared" si="22"/>
        <v>#VALUE!</v>
      </c>
      <c r="H64" s="75" t="e">
        <f t="shared" si="2"/>
        <v>#VALUE!</v>
      </c>
      <c r="I64" s="74" t="e">
        <f t="shared" si="23"/>
        <v>#VALUE!</v>
      </c>
      <c r="J64" s="74" t="e">
        <f t="shared" si="23"/>
        <v>#VALUE!</v>
      </c>
      <c r="K64" s="74" t="e">
        <f t="shared" si="23"/>
        <v>#VALUE!</v>
      </c>
      <c r="L64" s="74" t="e">
        <f t="shared" si="23"/>
        <v>#VALUE!</v>
      </c>
      <c r="M64" s="74" t="e">
        <f t="shared" si="23"/>
        <v>#VALUE!</v>
      </c>
      <c r="N64" s="72" t="e">
        <f>IF('Growing data-Input'!E75&gt;0,'Growing data-Input'!E75,#N/A)</f>
        <v>#N/A</v>
      </c>
      <c r="P64" s="78" t="e">
        <f t="shared" si="24"/>
        <v>#VALUE!</v>
      </c>
      <c r="Q64" s="78" t="e">
        <f t="shared" si="24"/>
        <v>#VALUE!</v>
      </c>
    </row>
    <row r="65" spans="1:17" x14ac:dyDescent="0.2">
      <c r="A65" s="71">
        <v>60</v>
      </c>
      <c r="B65" s="7">
        <f t="shared" si="6"/>
        <v>8.4285714285714359</v>
      </c>
      <c r="C65" s="74" t="e">
        <f t="shared" si="22"/>
        <v>#VALUE!</v>
      </c>
      <c r="D65" s="74" t="e">
        <f t="shared" si="22"/>
        <v>#VALUE!</v>
      </c>
      <c r="E65" s="74" t="e">
        <f t="shared" si="22"/>
        <v>#VALUE!</v>
      </c>
      <c r="F65" s="74" t="e">
        <f t="shared" si="22"/>
        <v>#VALUE!</v>
      </c>
      <c r="G65" s="74" t="e">
        <f t="shared" si="22"/>
        <v>#VALUE!</v>
      </c>
      <c r="H65" s="75" t="e">
        <f t="shared" si="2"/>
        <v>#VALUE!</v>
      </c>
      <c r="I65" s="74" t="e">
        <f t="shared" si="23"/>
        <v>#VALUE!</v>
      </c>
      <c r="J65" s="74" t="e">
        <f t="shared" si="23"/>
        <v>#VALUE!</v>
      </c>
      <c r="K65" s="74" t="e">
        <f t="shared" si="23"/>
        <v>#VALUE!</v>
      </c>
      <c r="L65" s="74" t="e">
        <f t="shared" si="23"/>
        <v>#VALUE!</v>
      </c>
      <c r="M65" s="74" t="e">
        <f t="shared" si="23"/>
        <v>#VALUE!</v>
      </c>
      <c r="N65" s="72" t="e">
        <f>IF('Growing data-Input'!E76&gt;0,'Growing data-Input'!E76,#N/A)</f>
        <v>#N/A</v>
      </c>
      <c r="P65" s="78" t="e">
        <f t="shared" si="24"/>
        <v>#VALUE!</v>
      </c>
      <c r="Q65" s="78" t="e">
        <f t="shared" si="24"/>
        <v>#VALUE!</v>
      </c>
    </row>
    <row r="66" spans="1:17" x14ac:dyDescent="0.2">
      <c r="A66" s="71">
        <v>61</v>
      </c>
      <c r="B66" s="7">
        <f t="shared" si="6"/>
        <v>8.5714285714285783</v>
      </c>
      <c r="C66" s="74" t="e">
        <f t="shared" ref="C66:G75" si="25">IF((D66*0.994)&lt;$P66,$P66,D66*0.994)</f>
        <v>#VALUE!</v>
      </c>
      <c r="D66" s="74" t="e">
        <f t="shared" si="25"/>
        <v>#VALUE!</v>
      </c>
      <c r="E66" s="74" t="e">
        <f t="shared" si="25"/>
        <v>#VALUE!</v>
      </c>
      <c r="F66" s="74" t="e">
        <f t="shared" si="25"/>
        <v>#VALUE!</v>
      </c>
      <c r="G66" s="74" t="e">
        <f t="shared" si="25"/>
        <v>#VALUE!</v>
      </c>
      <c r="H66" s="75" t="e">
        <f t="shared" si="2"/>
        <v>#VALUE!</v>
      </c>
      <c r="I66" s="74" t="e">
        <f t="shared" ref="I66:M75" si="26">IF((H66*1.006)&gt;$Q66,$Q66,H66*1.006)</f>
        <v>#VALUE!</v>
      </c>
      <c r="J66" s="74" t="e">
        <f t="shared" si="26"/>
        <v>#VALUE!</v>
      </c>
      <c r="K66" s="74" t="e">
        <f t="shared" si="26"/>
        <v>#VALUE!</v>
      </c>
      <c r="L66" s="74" t="e">
        <f t="shared" si="26"/>
        <v>#VALUE!</v>
      </c>
      <c r="M66" s="74" t="e">
        <f t="shared" si="26"/>
        <v>#VALUE!</v>
      </c>
      <c r="N66" s="72" t="e">
        <f>IF('Growing data-Input'!E77&gt;0,'Growing data-Input'!E77,#N/A)</f>
        <v>#N/A</v>
      </c>
      <c r="P66" s="78" t="e">
        <f t="shared" si="24"/>
        <v>#VALUE!</v>
      </c>
      <c r="Q66" s="78" t="e">
        <f t="shared" si="24"/>
        <v>#VALUE!</v>
      </c>
    </row>
    <row r="67" spans="1:17" x14ac:dyDescent="0.2">
      <c r="A67" s="71">
        <v>62</v>
      </c>
      <c r="B67" s="7">
        <f t="shared" si="6"/>
        <v>8.7142857142857206</v>
      </c>
      <c r="C67" s="74" t="e">
        <f t="shared" si="25"/>
        <v>#VALUE!</v>
      </c>
      <c r="D67" s="74" t="e">
        <f t="shared" si="25"/>
        <v>#VALUE!</v>
      </c>
      <c r="E67" s="74" t="e">
        <f t="shared" si="25"/>
        <v>#VALUE!</v>
      </c>
      <c r="F67" s="74" t="e">
        <f t="shared" si="25"/>
        <v>#VALUE!</v>
      </c>
      <c r="G67" s="74" t="e">
        <f t="shared" si="25"/>
        <v>#VALUE!</v>
      </c>
      <c r="H67" s="75" t="e">
        <f t="shared" si="2"/>
        <v>#VALUE!</v>
      </c>
      <c r="I67" s="74" t="e">
        <f t="shared" si="26"/>
        <v>#VALUE!</v>
      </c>
      <c r="J67" s="74" t="e">
        <f t="shared" si="26"/>
        <v>#VALUE!</v>
      </c>
      <c r="K67" s="74" t="e">
        <f t="shared" si="26"/>
        <v>#VALUE!</v>
      </c>
      <c r="L67" s="74" t="e">
        <f t="shared" si="26"/>
        <v>#VALUE!</v>
      </c>
      <c r="M67" s="74" t="e">
        <f t="shared" si="26"/>
        <v>#VALUE!</v>
      </c>
      <c r="N67" s="72" t="e">
        <f>IF('Growing data-Input'!E78&gt;0,'Growing data-Input'!E78,#N/A)</f>
        <v>#N/A</v>
      </c>
      <c r="P67" s="78" t="e">
        <f t="shared" si="24"/>
        <v>#VALUE!</v>
      </c>
      <c r="Q67" s="78" t="e">
        <f t="shared" si="24"/>
        <v>#VALUE!</v>
      </c>
    </row>
    <row r="68" spans="1:17" x14ac:dyDescent="0.2">
      <c r="A68" s="71">
        <v>63</v>
      </c>
      <c r="B68" s="7">
        <f t="shared" si="6"/>
        <v>8.857142857142863</v>
      </c>
      <c r="C68" s="74" t="e">
        <f t="shared" si="25"/>
        <v>#DIV/0!</v>
      </c>
      <c r="D68" s="74" t="e">
        <f t="shared" si="25"/>
        <v>#DIV/0!</v>
      </c>
      <c r="E68" s="74" t="e">
        <f t="shared" si="25"/>
        <v>#DIV/0!</v>
      </c>
      <c r="F68" s="74" t="e">
        <f t="shared" si="25"/>
        <v>#DIV/0!</v>
      </c>
      <c r="G68" s="74" t="e">
        <f t="shared" si="25"/>
        <v>#DIV/0!</v>
      </c>
      <c r="H68" s="75" t="e">
        <f t="shared" si="2"/>
        <v>#DIV/0!</v>
      </c>
      <c r="I68" s="74" t="e">
        <f t="shared" si="26"/>
        <v>#DIV/0!</v>
      </c>
      <c r="J68" s="74" t="e">
        <f t="shared" si="26"/>
        <v>#DIV/0!</v>
      </c>
      <c r="K68" s="74" t="e">
        <f t="shared" si="26"/>
        <v>#DIV/0!</v>
      </c>
      <c r="L68" s="74" t="e">
        <f t="shared" si="26"/>
        <v>#DIV/0!</v>
      </c>
      <c r="M68" s="74" t="e">
        <f t="shared" si="26"/>
        <v>#DIV/0!</v>
      </c>
      <c r="N68" s="72" t="e">
        <f>IF('Growing data-Input'!E79&gt;0,'Growing data-Input'!E79,#N/A)</f>
        <v>#N/A</v>
      </c>
      <c r="P68" s="78" t="str">
        <f>VLOOKUP($A68,$R$6:$T$24,2,FALSE)</f>
        <v/>
      </c>
      <c r="Q68" s="78" t="str">
        <f>VLOOKUP($A68,$R$6:$T$24,3,FALSE)</f>
        <v/>
      </c>
    </row>
    <row r="69" spans="1:17" x14ac:dyDescent="0.2">
      <c r="A69" s="71">
        <v>64</v>
      </c>
      <c r="B69" s="7">
        <f t="shared" si="6"/>
        <v>9.0000000000000053</v>
      </c>
      <c r="C69" s="74" t="e">
        <f t="shared" si="25"/>
        <v>#VALUE!</v>
      </c>
      <c r="D69" s="74" t="e">
        <f t="shared" si="25"/>
        <v>#VALUE!</v>
      </c>
      <c r="E69" s="74" t="e">
        <f t="shared" si="25"/>
        <v>#VALUE!</v>
      </c>
      <c r="F69" s="74" t="e">
        <f t="shared" si="25"/>
        <v>#VALUE!</v>
      </c>
      <c r="G69" s="74" t="e">
        <f t="shared" si="25"/>
        <v>#VALUE!</v>
      </c>
      <c r="H69" s="75" t="e">
        <f t="shared" si="2"/>
        <v>#VALUE!</v>
      </c>
      <c r="I69" s="74" t="e">
        <f t="shared" si="26"/>
        <v>#VALUE!</v>
      </c>
      <c r="J69" s="74" t="e">
        <f t="shared" si="26"/>
        <v>#VALUE!</v>
      </c>
      <c r="K69" s="74" t="e">
        <f t="shared" si="26"/>
        <v>#VALUE!</v>
      </c>
      <c r="L69" s="74" t="e">
        <f t="shared" si="26"/>
        <v>#VALUE!</v>
      </c>
      <c r="M69" s="74" t="e">
        <f t="shared" si="26"/>
        <v>#VALUE!</v>
      </c>
      <c r="N69" s="72" t="e">
        <f>IF('Growing data-Input'!E80&gt;0,'Growing data-Input'!E80,#N/A)</f>
        <v>#N/A</v>
      </c>
      <c r="P69" s="78" t="e">
        <f t="shared" ref="P69:Q74" si="27">P68+$U$16/7</f>
        <v>#VALUE!</v>
      </c>
      <c r="Q69" s="78" t="e">
        <f t="shared" si="27"/>
        <v>#VALUE!</v>
      </c>
    </row>
    <row r="70" spans="1:17" x14ac:dyDescent="0.2">
      <c r="A70" s="71">
        <v>65</v>
      </c>
      <c r="B70" s="7">
        <f t="shared" si="6"/>
        <v>9.1428571428571477</v>
      </c>
      <c r="C70" s="74" t="e">
        <f t="shared" si="25"/>
        <v>#VALUE!</v>
      </c>
      <c r="D70" s="74" t="e">
        <f t="shared" si="25"/>
        <v>#VALUE!</v>
      </c>
      <c r="E70" s="74" t="e">
        <f t="shared" si="25"/>
        <v>#VALUE!</v>
      </c>
      <c r="F70" s="74" t="e">
        <f t="shared" si="25"/>
        <v>#VALUE!</v>
      </c>
      <c r="G70" s="74" t="e">
        <f t="shared" si="25"/>
        <v>#VALUE!</v>
      </c>
      <c r="H70" s="75" t="e">
        <f t="shared" si="2"/>
        <v>#VALUE!</v>
      </c>
      <c r="I70" s="74" t="e">
        <f t="shared" si="26"/>
        <v>#VALUE!</v>
      </c>
      <c r="J70" s="74" t="e">
        <f t="shared" si="26"/>
        <v>#VALUE!</v>
      </c>
      <c r="K70" s="74" t="e">
        <f t="shared" si="26"/>
        <v>#VALUE!</v>
      </c>
      <c r="L70" s="74" t="e">
        <f t="shared" si="26"/>
        <v>#VALUE!</v>
      </c>
      <c r="M70" s="74" t="e">
        <f t="shared" si="26"/>
        <v>#VALUE!</v>
      </c>
      <c r="N70" s="72" t="e">
        <f>IF('Growing data-Input'!E81&gt;0,'Growing data-Input'!E81,#N/A)</f>
        <v>#N/A</v>
      </c>
      <c r="P70" s="78" t="e">
        <f t="shared" si="27"/>
        <v>#VALUE!</v>
      </c>
      <c r="Q70" s="78" t="e">
        <f t="shared" si="27"/>
        <v>#VALUE!</v>
      </c>
    </row>
    <row r="71" spans="1:17" x14ac:dyDescent="0.2">
      <c r="A71" s="71">
        <v>66</v>
      </c>
      <c r="B71" s="7">
        <f t="shared" si="6"/>
        <v>9.28571428571429</v>
      </c>
      <c r="C71" s="74" t="e">
        <f t="shared" si="25"/>
        <v>#VALUE!</v>
      </c>
      <c r="D71" s="74" t="e">
        <f t="shared" si="25"/>
        <v>#VALUE!</v>
      </c>
      <c r="E71" s="74" t="e">
        <f t="shared" si="25"/>
        <v>#VALUE!</v>
      </c>
      <c r="F71" s="74" t="e">
        <f t="shared" si="25"/>
        <v>#VALUE!</v>
      </c>
      <c r="G71" s="74" t="e">
        <f t="shared" si="25"/>
        <v>#VALUE!</v>
      </c>
      <c r="H71" s="75" t="e">
        <f t="shared" ref="H71:H131" si="28">AVERAGE(P71:Q71)</f>
        <v>#VALUE!</v>
      </c>
      <c r="I71" s="74" t="e">
        <f t="shared" si="26"/>
        <v>#VALUE!</v>
      </c>
      <c r="J71" s="74" t="e">
        <f t="shared" si="26"/>
        <v>#VALUE!</v>
      </c>
      <c r="K71" s="74" t="e">
        <f t="shared" si="26"/>
        <v>#VALUE!</v>
      </c>
      <c r="L71" s="74" t="e">
        <f t="shared" si="26"/>
        <v>#VALUE!</v>
      </c>
      <c r="M71" s="74" t="e">
        <f t="shared" si="26"/>
        <v>#VALUE!</v>
      </c>
      <c r="N71" s="72" t="e">
        <f>IF('Growing data-Input'!E82&gt;0,'Growing data-Input'!E82,#N/A)</f>
        <v>#N/A</v>
      </c>
      <c r="P71" s="78" t="e">
        <f t="shared" si="27"/>
        <v>#VALUE!</v>
      </c>
      <c r="Q71" s="78" t="e">
        <f t="shared" si="27"/>
        <v>#VALUE!</v>
      </c>
    </row>
    <row r="72" spans="1:17" x14ac:dyDescent="0.2">
      <c r="A72" s="71">
        <v>67</v>
      </c>
      <c r="B72" s="7">
        <f t="shared" si="6"/>
        <v>9.4285714285714324</v>
      </c>
      <c r="C72" s="74" t="e">
        <f t="shared" si="25"/>
        <v>#VALUE!</v>
      </c>
      <c r="D72" s="74" t="e">
        <f t="shared" si="25"/>
        <v>#VALUE!</v>
      </c>
      <c r="E72" s="74" t="e">
        <f t="shared" si="25"/>
        <v>#VALUE!</v>
      </c>
      <c r="F72" s="74" t="e">
        <f t="shared" si="25"/>
        <v>#VALUE!</v>
      </c>
      <c r="G72" s="74" t="e">
        <f t="shared" si="25"/>
        <v>#VALUE!</v>
      </c>
      <c r="H72" s="75" t="e">
        <f t="shared" si="28"/>
        <v>#VALUE!</v>
      </c>
      <c r="I72" s="74" t="e">
        <f t="shared" si="26"/>
        <v>#VALUE!</v>
      </c>
      <c r="J72" s="74" t="e">
        <f t="shared" si="26"/>
        <v>#VALUE!</v>
      </c>
      <c r="K72" s="74" t="e">
        <f t="shared" si="26"/>
        <v>#VALUE!</v>
      </c>
      <c r="L72" s="74" t="e">
        <f t="shared" si="26"/>
        <v>#VALUE!</v>
      </c>
      <c r="M72" s="74" t="e">
        <f t="shared" si="26"/>
        <v>#VALUE!</v>
      </c>
      <c r="N72" s="72" t="e">
        <f>IF('Growing data-Input'!E83&gt;0,'Growing data-Input'!E83,#N/A)</f>
        <v>#N/A</v>
      </c>
      <c r="P72" s="78" t="e">
        <f t="shared" si="27"/>
        <v>#VALUE!</v>
      </c>
      <c r="Q72" s="78" t="e">
        <f t="shared" si="27"/>
        <v>#VALUE!</v>
      </c>
    </row>
    <row r="73" spans="1:17" x14ac:dyDescent="0.2">
      <c r="A73" s="71">
        <v>68</v>
      </c>
      <c r="B73" s="7">
        <f t="shared" ref="B73:B131" si="29">B72+1/7</f>
        <v>9.5714285714285747</v>
      </c>
      <c r="C73" s="74" t="e">
        <f t="shared" si="25"/>
        <v>#VALUE!</v>
      </c>
      <c r="D73" s="74" t="e">
        <f t="shared" si="25"/>
        <v>#VALUE!</v>
      </c>
      <c r="E73" s="74" t="e">
        <f t="shared" si="25"/>
        <v>#VALUE!</v>
      </c>
      <c r="F73" s="74" t="e">
        <f t="shared" si="25"/>
        <v>#VALUE!</v>
      </c>
      <c r="G73" s="74" t="e">
        <f t="shared" si="25"/>
        <v>#VALUE!</v>
      </c>
      <c r="H73" s="75" t="e">
        <f t="shared" si="28"/>
        <v>#VALUE!</v>
      </c>
      <c r="I73" s="74" t="e">
        <f t="shared" si="26"/>
        <v>#VALUE!</v>
      </c>
      <c r="J73" s="74" t="e">
        <f t="shared" si="26"/>
        <v>#VALUE!</v>
      </c>
      <c r="K73" s="74" t="e">
        <f t="shared" si="26"/>
        <v>#VALUE!</v>
      </c>
      <c r="L73" s="74" t="e">
        <f t="shared" si="26"/>
        <v>#VALUE!</v>
      </c>
      <c r="M73" s="74" t="e">
        <f t="shared" si="26"/>
        <v>#VALUE!</v>
      </c>
      <c r="N73" s="72" t="e">
        <f>IF('Growing data-Input'!E84&gt;0,'Growing data-Input'!E84,#N/A)</f>
        <v>#N/A</v>
      </c>
      <c r="P73" s="78" t="e">
        <f t="shared" si="27"/>
        <v>#VALUE!</v>
      </c>
      <c r="Q73" s="78" t="e">
        <f t="shared" si="27"/>
        <v>#VALUE!</v>
      </c>
    </row>
    <row r="74" spans="1:17" x14ac:dyDescent="0.2">
      <c r="A74" s="71">
        <v>69</v>
      </c>
      <c r="B74" s="7">
        <f t="shared" si="29"/>
        <v>9.7142857142857171</v>
      </c>
      <c r="C74" s="74" t="e">
        <f t="shared" si="25"/>
        <v>#VALUE!</v>
      </c>
      <c r="D74" s="74" t="e">
        <f t="shared" si="25"/>
        <v>#VALUE!</v>
      </c>
      <c r="E74" s="74" t="e">
        <f t="shared" si="25"/>
        <v>#VALUE!</v>
      </c>
      <c r="F74" s="74" t="e">
        <f t="shared" si="25"/>
        <v>#VALUE!</v>
      </c>
      <c r="G74" s="74" t="e">
        <f t="shared" si="25"/>
        <v>#VALUE!</v>
      </c>
      <c r="H74" s="75" t="e">
        <f t="shared" si="28"/>
        <v>#VALUE!</v>
      </c>
      <c r="I74" s="74" t="e">
        <f t="shared" si="26"/>
        <v>#VALUE!</v>
      </c>
      <c r="J74" s="74" t="e">
        <f t="shared" si="26"/>
        <v>#VALUE!</v>
      </c>
      <c r="K74" s="74" t="e">
        <f t="shared" si="26"/>
        <v>#VALUE!</v>
      </c>
      <c r="L74" s="74" t="e">
        <f t="shared" si="26"/>
        <v>#VALUE!</v>
      </c>
      <c r="M74" s="74" t="e">
        <f t="shared" si="26"/>
        <v>#VALUE!</v>
      </c>
      <c r="N74" s="72" t="e">
        <f>IF('Growing data-Input'!E85&gt;0,'Growing data-Input'!E85,#N/A)</f>
        <v>#N/A</v>
      </c>
      <c r="P74" s="78" t="e">
        <f t="shared" si="27"/>
        <v>#VALUE!</v>
      </c>
      <c r="Q74" s="78" t="e">
        <f t="shared" si="27"/>
        <v>#VALUE!</v>
      </c>
    </row>
    <row r="75" spans="1:17" x14ac:dyDescent="0.2">
      <c r="A75" s="71">
        <v>70</v>
      </c>
      <c r="B75" s="7">
        <f t="shared" si="29"/>
        <v>9.8571428571428594</v>
      </c>
      <c r="C75" s="74" t="e">
        <f t="shared" si="25"/>
        <v>#DIV/0!</v>
      </c>
      <c r="D75" s="74" t="e">
        <f t="shared" si="25"/>
        <v>#DIV/0!</v>
      </c>
      <c r="E75" s="74" t="e">
        <f t="shared" si="25"/>
        <v>#DIV/0!</v>
      </c>
      <c r="F75" s="74" t="e">
        <f t="shared" si="25"/>
        <v>#DIV/0!</v>
      </c>
      <c r="G75" s="74" t="e">
        <f t="shared" si="25"/>
        <v>#DIV/0!</v>
      </c>
      <c r="H75" s="75" t="e">
        <f t="shared" si="28"/>
        <v>#DIV/0!</v>
      </c>
      <c r="I75" s="74" t="e">
        <f t="shared" si="26"/>
        <v>#DIV/0!</v>
      </c>
      <c r="J75" s="74" t="e">
        <f t="shared" si="26"/>
        <v>#DIV/0!</v>
      </c>
      <c r="K75" s="74" t="e">
        <f t="shared" si="26"/>
        <v>#DIV/0!</v>
      </c>
      <c r="L75" s="74" t="e">
        <f t="shared" si="26"/>
        <v>#DIV/0!</v>
      </c>
      <c r="M75" s="74" t="e">
        <f t="shared" si="26"/>
        <v>#DIV/0!</v>
      </c>
      <c r="N75" s="72" t="e">
        <f>IF('Growing data-Input'!E86&gt;0,'Growing data-Input'!E86,#N/A)</f>
        <v>#N/A</v>
      </c>
      <c r="P75" s="78" t="str">
        <f>VLOOKUP($A75,$R$6:$T$24,2,FALSE)</f>
        <v/>
      </c>
      <c r="Q75" s="78" t="str">
        <f>VLOOKUP($A75,$R$6:$T$24,3,FALSE)</f>
        <v/>
      </c>
    </row>
    <row r="76" spans="1:17" x14ac:dyDescent="0.2">
      <c r="A76" s="71">
        <v>71</v>
      </c>
      <c r="B76" s="7">
        <f t="shared" si="29"/>
        <v>10.000000000000002</v>
      </c>
      <c r="C76" s="74" t="e">
        <f t="shared" ref="C76:G85" si="30">IF((D76*0.994)&lt;$P76,$P76,D76*0.994)</f>
        <v>#VALUE!</v>
      </c>
      <c r="D76" s="74" t="e">
        <f t="shared" si="30"/>
        <v>#VALUE!</v>
      </c>
      <c r="E76" s="74" t="e">
        <f t="shared" si="30"/>
        <v>#VALUE!</v>
      </c>
      <c r="F76" s="74" t="e">
        <f t="shared" si="30"/>
        <v>#VALUE!</v>
      </c>
      <c r="G76" s="74" t="e">
        <f t="shared" si="30"/>
        <v>#VALUE!</v>
      </c>
      <c r="H76" s="75" t="e">
        <f t="shared" si="28"/>
        <v>#VALUE!</v>
      </c>
      <c r="I76" s="74" t="e">
        <f t="shared" ref="I76:M85" si="31">IF((H76*1.006)&gt;$Q76,$Q76,H76*1.006)</f>
        <v>#VALUE!</v>
      </c>
      <c r="J76" s="74" t="e">
        <f t="shared" si="31"/>
        <v>#VALUE!</v>
      </c>
      <c r="K76" s="74" t="e">
        <f t="shared" si="31"/>
        <v>#VALUE!</v>
      </c>
      <c r="L76" s="74" t="e">
        <f t="shared" si="31"/>
        <v>#VALUE!</v>
      </c>
      <c r="M76" s="74" t="e">
        <f t="shared" si="31"/>
        <v>#VALUE!</v>
      </c>
      <c r="N76" s="72" t="e">
        <f>IF('Growing data-Input'!E87&gt;0,'Growing data-Input'!E87,#N/A)</f>
        <v>#N/A</v>
      </c>
      <c r="P76" s="78" t="e">
        <f t="shared" ref="P76:Q81" si="32">P75+$U$17/7</f>
        <v>#VALUE!</v>
      </c>
      <c r="Q76" s="78" t="e">
        <f t="shared" si="32"/>
        <v>#VALUE!</v>
      </c>
    </row>
    <row r="77" spans="1:17" x14ac:dyDescent="0.2">
      <c r="A77" s="71">
        <v>72</v>
      </c>
      <c r="B77" s="7">
        <f t="shared" si="29"/>
        <v>10.142857142857144</v>
      </c>
      <c r="C77" s="74" t="e">
        <f t="shared" si="30"/>
        <v>#VALUE!</v>
      </c>
      <c r="D77" s="74" t="e">
        <f t="shared" si="30"/>
        <v>#VALUE!</v>
      </c>
      <c r="E77" s="74" t="e">
        <f t="shared" si="30"/>
        <v>#VALUE!</v>
      </c>
      <c r="F77" s="74" t="e">
        <f t="shared" si="30"/>
        <v>#VALUE!</v>
      </c>
      <c r="G77" s="74" t="e">
        <f t="shared" si="30"/>
        <v>#VALUE!</v>
      </c>
      <c r="H77" s="75" t="e">
        <f t="shared" si="28"/>
        <v>#VALUE!</v>
      </c>
      <c r="I77" s="74" t="e">
        <f t="shared" si="31"/>
        <v>#VALUE!</v>
      </c>
      <c r="J77" s="74" t="e">
        <f t="shared" si="31"/>
        <v>#VALUE!</v>
      </c>
      <c r="K77" s="74" t="e">
        <f t="shared" si="31"/>
        <v>#VALUE!</v>
      </c>
      <c r="L77" s="74" t="e">
        <f t="shared" si="31"/>
        <v>#VALUE!</v>
      </c>
      <c r="M77" s="74" t="e">
        <f t="shared" si="31"/>
        <v>#VALUE!</v>
      </c>
      <c r="N77" s="72" t="e">
        <f>IF('Growing data-Input'!E88&gt;0,'Growing data-Input'!E88,#N/A)</f>
        <v>#N/A</v>
      </c>
      <c r="P77" s="78" t="e">
        <f t="shared" si="32"/>
        <v>#VALUE!</v>
      </c>
      <c r="Q77" s="78" t="e">
        <f t="shared" si="32"/>
        <v>#VALUE!</v>
      </c>
    </row>
    <row r="78" spans="1:17" x14ac:dyDescent="0.2">
      <c r="A78" s="71">
        <v>73</v>
      </c>
      <c r="B78" s="7">
        <f t="shared" si="29"/>
        <v>10.285714285714286</v>
      </c>
      <c r="C78" s="74" t="e">
        <f t="shared" si="30"/>
        <v>#VALUE!</v>
      </c>
      <c r="D78" s="74" t="e">
        <f t="shared" si="30"/>
        <v>#VALUE!</v>
      </c>
      <c r="E78" s="74" t="e">
        <f t="shared" si="30"/>
        <v>#VALUE!</v>
      </c>
      <c r="F78" s="74" t="e">
        <f t="shared" si="30"/>
        <v>#VALUE!</v>
      </c>
      <c r="G78" s="74" t="e">
        <f t="shared" si="30"/>
        <v>#VALUE!</v>
      </c>
      <c r="H78" s="75" t="e">
        <f t="shared" si="28"/>
        <v>#VALUE!</v>
      </c>
      <c r="I78" s="74" t="e">
        <f t="shared" si="31"/>
        <v>#VALUE!</v>
      </c>
      <c r="J78" s="74" t="e">
        <f t="shared" si="31"/>
        <v>#VALUE!</v>
      </c>
      <c r="K78" s="74" t="e">
        <f t="shared" si="31"/>
        <v>#VALUE!</v>
      </c>
      <c r="L78" s="74" t="e">
        <f t="shared" si="31"/>
        <v>#VALUE!</v>
      </c>
      <c r="M78" s="74" t="e">
        <f t="shared" si="31"/>
        <v>#VALUE!</v>
      </c>
      <c r="N78" s="72" t="e">
        <f>IF('Growing data-Input'!E89&gt;0,'Growing data-Input'!E89,#N/A)</f>
        <v>#N/A</v>
      </c>
      <c r="P78" s="78" t="e">
        <f t="shared" si="32"/>
        <v>#VALUE!</v>
      </c>
      <c r="Q78" s="78" t="e">
        <f t="shared" si="32"/>
        <v>#VALUE!</v>
      </c>
    </row>
    <row r="79" spans="1:17" x14ac:dyDescent="0.2">
      <c r="A79" s="71">
        <v>74</v>
      </c>
      <c r="B79" s="7">
        <f t="shared" si="29"/>
        <v>10.428571428571429</v>
      </c>
      <c r="C79" s="74" t="e">
        <f t="shared" si="30"/>
        <v>#VALUE!</v>
      </c>
      <c r="D79" s="74" t="e">
        <f t="shared" si="30"/>
        <v>#VALUE!</v>
      </c>
      <c r="E79" s="74" t="e">
        <f t="shared" si="30"/>
        <v>#VALUE!</v>
      </c>
      <c r="F79" s="74" t="e">
        <f t="shared" si="30"/>
        <v>#VALUE!</v>
      </c>
      <c r="G79" s="74" t="e">
        <f t="shared" si="30"/>
        <v>#VALUE!</v>
      </c>
      <c r="H79" s="75" t="e">
        <f t="shared" si="28"/>
        <v>#VALUE!</v>
      </c>
      <c r="I79" s="74" t="e">
        <f t="shared" si="31"/>
        <v>#VALUE!</v>
      </c>
      <c r="J79" s="74" t="e">
        <f t="shared" si="31"/>
        <v>#VALUE!</v>
      </c>
      <c r="K79" s="74" t="e">
        <f t="shared" si="31"/>
        <v>#VALUE!</v>
      </c>
      <c r="L79" s="74" t="e">
        <f t="shared" si="31"/>
        <v>#VALUE!</v>
      </c>
      <c r="M79" s="74" t="e">
        <f t="shared" si="31"/>
        <v>#VALUE!</v>
      </c>
      <c r="N79" s="72" t="e">
        <f>IF('Growing data-Input'!E90&gt;0,'Growing data-Input'!E90,#N/A)</f>
        <v>#N/A</v>
      </c>
      <c r="P79" s="78" t="e">
        <f t="shared" si="32"/>
        <v>#VALUE!</v>
      </c>
      <c r="Q79" s="78" t="e">
        <f t="shared" si="32"/>
        <v>#VALUE!</v>
      </c>
    </row>
    <row r="80" spans="1:17" x14ac:dyDescent="0.2">
      <c r="A80" s="71">
        <v>75</v>
      </c>
      <c r="B80" s="7">
        <f t="shared" si="29"/>
        <v>10.571428571428571</v>
      </c>
      <c r="C80" s="74" t="e">
        <f t="shared" si="30"/>
        <v>#VALUE!</v>
      </c>
      <c r="D80" s="74" t="e">
        <f t="shared" si="30"/>
        <v>#VALUE!</v>
      </c>
      <c r="E80" s="74" t="e">
        <f t="shared" si="30"/>
        <v>#VALUE!</v>
      </c>
      <c r="F80" s="74" t="e">
        <f t="shared" si="30"/>
        <v>#VALUE!</v>
      </c>
      <c r="G80" s="74" t="e">
        <f t="shared" si="30"/>
        <v>#VALUE!</v>
      </c>
      <c r="H80" s="75" t="e">
        <f t="shared" si="28"/>
        <v>#VALUE!</v>
      </c>
      <c r="I80" s="74" t="e">
        <f t="shared" si="31"/>
        <v>#VALUE!</v>
      </c>
      <c r="J80" s="74" t="e">
        <f t="shared" si="31"/>
        <v>#VALUE!</v>
      </c>
      <c r="K80" s="74" t="e">
        <f t="shared" si="31"/>
        <v>#VALUE!</v>
      </c>
      <c r="L80" s="74" t="e">
        <f t="shared" si="31"/>
        <v>#VALUE!</v>
      </c>
      <c r="M80" s="74" t="e">
        <f t="shared" si="31"/>
        <v>#VALUE!</v>
      </c>
      <c r="N80" s="72" t="e">
        <f>IF('Growing data-Input'!E91&gt;0,'Growing data-Input'!E91,#N/A)</f>
        <v>#N/A</v>
      </c>
      <c r="P80" s="78" t="e">
        <f t="shared" si="32"/>
        <v>#VALUE!</v>
      </c>
      <c r="Q80" s="78" t="e">
        <f t="shared" si="32"/>
        <v>#VALUE!</v>
      </c>
    </row>
    <row r="81" spans="1:17" x14ac:dyDescent="0.2">
      <c r="A81" s="71">
        <v>76</v>
      </c>
      <c r="B81" s="7">
        <f t="shared" si="29"/>
        <v>10.714285714285714</v>
      </c>
      <c r="C81" s="74" t="e">
        <f t="shared" si="30"/>
        <v>#VALUE!</v>
      </c>
      <c r="D81" s="74" t="e">
        <f t="shared" si="30"/>
        <v>#VALUE!</v>
      </c>
      <c r="E81" s="74" t="e">
        <f t="shared" si="30"/>
        <v>#VALUE!</v>
      </c>
      <c r="F81" s="74" t="e">
        <f t="shared" si="30"/>
        <v>#VALUE!</v>
      </c>
      <c r="G81" s="74" t="e">
        <f t="shared" si="30"/>
        <v>#VALUE!</v>
      </c>
      <c r="H81" s="75" t="e">
        <f t="shared" si="28"/>
        <v>#VALUE!</v>
      </c>
      <c r="I81" s="74" t="e">
        <f t="shared" si="31"/>
        <v>#VALUE!</v>
      </c>
      <c r="J81" s="74" t="e">
        <f t="shared" si="31"/>
        <v>#VALUE!</v>
      </c>
      <c r="K81" s="74" t="e">
        <f t="shared" si="31"/>
        <v>#VALUE!</v>
      </c>
      <c r="L81" s="74" t="e">
        <f t="shared" si="31"/>
        <v>#VALUE!</v>
      </c>
      <c r="M81" s="74" t="e">
        <f t="shared" si="31"/>
        <v>#VALUE!</v>
      </c>
      <c r="N81" s="72" t="e">
        <f>IF('Growing data-Input'!E92&gt;0,'Growing data-Input'!E92,#N/A)</f>
        <v>#N/A</v>
      </c>
      <c r="P81" s="78" t="e">
        <f t="shared" si="32"/>
        <v>#VALUE!</v>
      </c>
      <c r="Q81" s="78" t="e">
        <f t="shared" si="32"/>
        <v>#VALUE!</v>
      </c>
    </row>
    <row r="82" spans="1:17" x14ac:dyDescent="0.2">
      <c r="A82" s="71">
        <v>77</v>
      </c>
      <c r="B82" s="7">
        <f t="shared" si="29"/>
        <v>10.857142857142856</v>
      </c>
      <c r="C82" s="74" t="e">
        <f t="shared" si="30"/>
        <v>#DIV/0!</v>
      </c>
      <c r="D82" s="74" t="e">
        <f t="shared" si="30"/>
        <v>#DIV/0!</v>
      </c>
      <c r="E82" s="74" t="e">
        <f t="shared" si="30"/>
        <v>#DIV/0!</v>
      </c>
      <c r="F82" s="74" t="e">
        <f t="shared" si="30"/>
        <v>#DIV/0!</v>
      </c>
      <c r="G82" s="74" t="e">
        <f t="shared" si="30"/>
        <v>#DIV/0!</v>
      </c>
      <c r="H82" s="75" t="e">
        <f t="shared" si="28"/>
        <v>#DIV/0!</v>
      </c>
      <c r="I82" s="74" t="e">
        <f t="shared" si="31"/>
        <v>#DIV/0!</v>
      </c>
      <c r="J82" s="74" t="e">
        <f t="shared" si="31"/>
        <v>#DIV/0!</v>
      </c>
      <c r="K82" s="74" t="e">
        <f t="shared" si="31"/>
        <v>#DIV/0!</v>
      </c>
      <c r="L82" s="74" t="e">
        <f t="shared" si="31"/>
        <v>#DIV/0!</v>
      </c>
      <c r="M82" s="74" t="e">
        <f t="shared" si="31"/>
        <v>#DIV/0!</v>
      </c>
      <c r="N82" s="72" t="e">
        <f>IF('Growing data-Input'!E93&gt;0,'Growing data-Input'!E93,#N/A)</f>
        <v>#N/A</v>
      </c>
      <c r="P82" s="78" t="str">
        <f>VLOOKUP($A82,$R$6:$T$24,2,FALSE)</f>
        <v/>
      </c>
      <c r="Q82" s="78" t="str">
        <f>VLOOKUP($A82,$R$6:$T$24,3,FALSE)</f>
        <v/>
      </c>
    </row>
    <row r="83" spans="1:17" x14ac:dyDescent="0.2">
      <c r="A83" s="71">
        <v>78</v>
      </c>
      <c r="B83" s="7">
        <f t="shared" si="29"/>
        <v>10.999999999999998</v>
      </c>
      <c r="C83" s="74" t="e">
        <f t="shared" si="30"/>
        <v>#VALUE!</v>
      </c>
      <c r="D83" s="74" t="e">
        <f t="shared" si="30"/>
        <v>#VALUE!</v>
      </c>
      <c r="E83" s="74" t="e">
        <f t="shared" si="30"/>
        <v>#VALUE!</v>
      </c>
      <c r="F83" s="74" t="e">
        <f t="shared" si="30"/>
        <v>#VALUE!</v>
      </c>
      <c r="G83" s="74" t="e">
        <f t="shared" si="30"/>
        <v>#VALUE!</v>
      </c>
      <c r="H83" s="75" t="e">
        <f t="shared" si="28"/>
        <v>#VALUE!</v>
      </c>
      <c r="I83" s="74" t="e">
        <f t="shared" si="31"/>
        <v>#VALUE!</v>
      </c>
      <c r="J83" s="74" t="e">
        <f t="shared" si="31"/>
        <v>#VALUE!</v>
      </c>
      <c r="K83" s="74" t="e">
        <f t="shared" si="31"/>
        <v>#VALUE!</v>
      </c>
      <c r="L83" s="74" t="e">
        <f t="shared" si="31"/>
        <v>#VALUE!</v>
      </c>
      <c r="M83" s="74" t="e">
        <f t="shared" si="31"/>
        <v>#VALUE!</v>
      </c>
      <c r="N83" s="72" t="e">
        <f>IF('Growing data-Input'!E94&gt;0,'Growing data-Input'!E94,#N/A)</f>
        <v>#N/A</v>
      </c>
      <c r="P83" s="78" t="e">
        <f t="shared" ref="P83:Q88" si="33">P82+$U$18/7</f>
        <v>#VALUE!</v>
      </c>
      <c r="Q83" s="78" t="e">
        <f t="shared" si="33"/>
        <v>#VALUE!</v>
      </c>
    </row>
    <row r="84" spans="1:17" x14ac:dyDescent="0.2">
      <c r="A84" s="71">
        <v>79</v>
      </c>
      <c r="B84" s="7">
        <f t="shared" si="29"/>
        <v>11.142857142857141</v>
      </c>
      <c r="C84" s="74" t="e">
        <f t="shared" si="30"/>
        <v>#VALUE!</v>
      </c>
      <c r="D84" s="74" t="e">
        <f t="shared" si="30"/>
        <v>#VALUE!</v>
      </c>
      <c r="E84" s="74" t="e">
        <f t="shared" si="30"/>
        <v>#VALUE!</v>
      </c>
      <c r="F84" s="74" t="e">
        <f t="shared" si="30"/>
        <v>#VALUE!</v>
      </c>
      <c r="G84" s="74" t="e">
        <f t="shared" si="30"/>
        <v>#VALUE!</v>
      </c>
      <c r="H84" s="75" t="e">
        <f t="shared" si="28"/>
        <v>#VALUE!</v>
      </c>
      <c r="I84" s="74" t="e">
        <f t="shared" si="31"/>
        <v>#VALUE!</v>
      </c>
      <c r="J84" s="74" t="e">
        <f t="shared" si="31"/>
        <v>#VALUE!</v>
      </c>
      <c r="K84" s="74" t="e">
        <f t="shared" si="31"/>
        <v>#VALUE!</v>
      </c>
      <c r="L84" s="74" t="e">
        <f t="shared" si="31"/>
        <v>#VALUE!</v>
      </c>
      <c r="M84" s="74" t="e">
        <f t="shared" si="31"/>
        <v>#VALUE!</v>
      </c>
      <c r="N84" s="72" t="e">
        <f>IF('Growing data-Input'!E95&gt;0,'Growing data-Input'!E95,#N/A)</f>
        <v>#N/A</v>
      </c>
      <c r="P84" s="78" t="e">
        <f t="shared" si="33"/>
        <v>#VALUE!</v>
      </c>
      <c r="Q84" s="78" t="e">
        <f t="shared" si="33"/>
        <v>#VALUE!</v>
      </c>
    </row>
    <row r="85" spans="1:17" x14ac:dyDescent="0.2">
      <c r="A85" s="71">
        <v>80</v>
      </c>
      <c r="B85" s="7">
        <f t="shared" si="29"/>
        <v>11.285714285714283</v>
      </c>
      <c r="C85" s="74" t="e">
        <f t="shared" si="30"/>
        <v>#VALUE!</v>
      </c>
      <c r="D85" s="74" t="e">
        <f t="shared" si="30"/>
        <v>#VALUE!</v>
      </c>
      <c r="E85" s="74" t="e">
        <f t="shared" si="30"/>
        <v>#VALUE!</v>
      </c>
      <c r="F85" s="74" t="e">
        <f t="shared" si="30"/>
        <v>#VALUE!</v>
      </c>
      <c r="G85" s="74" t="e">
        <f t="shared" si="30"/>
        <v>#VALUE!</v>
      </c>
      <c r="H85" s="75" t="e">
        <f t="shared" si="28"/>
        <v>#VALUE!</v>
      </c>
      <c r="I85" s="74" t="e">
        <f t="shared" si="31"/>
        <v>#VALUE!</v>
      </c>
      <c r="J85" s="74" t="e">
        <f t="shared" si="31"/>
        <v>#VALUE!</v>
      </c>
      <c r="K85" s="74" t="e">
        <f t="shared" si="31"/>
        <v>#VALUE!</v>
      </c>
      <c r="L85" s="74" t="e">
        <f t="shared" si="31"/>
        <v>#VALUE!</v>
      </c>
      <c r="M85" s="74" t="e">
        <f t="shared" si="31"/>
        <v>#VALUE!</v>
      </c>
      <c r="N85" s="72" t="e">
        <f>IF('Growing data-Input'!E96&gt;0,'Growing data-Input'!E96,#N/A)</f>
        <v>#N/A</v>
      </c>
      <c r="P85" s="78" t="e">
        <f t="shared" si="33"/>
        <v>#VALUE!</v>
      </c>
      <c r="Q85" s="78" t="e">
        <f t="shared" si="33"/>
        <v>#VALUE!</v>
      </c>
    </row>
    <row r="86" spans="1:17" x14ac:dyDescent="0.2">
      <c r="A86" s="71">
        <v>81</v>
      </c>
      <c r="B86" s="7">
        <f t="shared" si="29"/>
        <v>11.428571428571425</v>
      </c>
      <c r="C86" s="74" t="e">
        <f t="shared" ref="C86:G95" si="34">IF((D86*0.994)&lt;$P86,$P86,D86*0.994)</f>
        <v>#VALUE!</v>
      </c>
      <c r="D86" s="74" t="e">
        <f t="shared" si="34"/>
        <v>#VALUE!</v>
      </c>
      <c r="E86" s="74" t="e">
        <f t="shared" si="34"/>
        <v>#VALUE!</v>
      </c>
      <c r="F86" s="74" t="e">
        <f t="shared" si="34"/>
        <v>#VALUE!</v>
      </c>
      <c r="G86" s="74" t="e">
        <f t="shared" si="34"/>
        <v>#VALUE!</v>
      </c>
      <c r="H86" s="75" t="e">
        <f t="shared" si="28"/>
        <v>#VALUE!</v>
      </c>
      <c r="I86" s="74" t="e">
        <f t="shared" ref="I86:M95" si="35">IF((H86*1.006)&gt;$Q86,$Q86,H86*1.006)</f>
        <v>#VALUE!</v>
      </c>
      <c r="J86" s="74" t="e">
        <f t="shared" si="35"/>
        <v>#VALUE!</v>
      </c>
      <c r="K86" s="74" t="e">
        <f t="shared" si="35"/>
        <v>#VALUE!</v>
      </c>
      <c r="L86" s="74" t="e">
        <f t="shared" si="35"/>
        <v>#VALUE!</v>
      </c>
      <c r="M86" s="74" t="e">
        <f t="shared" si="35"/>
        <v>#VALUE!</v>
      </c>
      <c r="N86" s="72" t="e">
        <f>IF('Growing data-Input'!E97&gt;0,'Growing data-Input'!E97,#N/A)</f>
        <v>#N/A</v>
      </c>
      <c r="P86" s="78" t="e">
        <f t="shared" si="33"/>
        <v>#VALUE!</v>
      </c>
      <c r="Q86" s="78" t="e">
        <f t="shared" si="33"/>
        <v>#VALUE!</v>
      </c>
    </row>
    <row r="87" spans="1:17" x14ac:dyDescent="0.2">
      <c r="A87" s="71">
        <v>82</v>
      </c>
      <c r="B87" s="7">
        <f t="shared" si="29"/>
        <v>11.571428571428568</v>
      </c>
      <c r="C87" s="74" t="e">
        <f t="shared" si="34"/>
        <v>#VALUE!</v>
      </c>
      <c r="D87" s="74" t="e">
        <f t="shared" si="34"/>
        <v>#VALUE!</v>
      </c>
      <c r="E87" s="74" t="e">
        <f t="shared" si="34"/>
        <v>#VALUE!</v>
      </c>
      <c r="F87" s="74" t="e">
        <f t="shared" si="34"/>
        <v>#VALUE!</v>
      </c>
      <c r="G87" s="74" t="e">
        <f t="shared" si="34"/>
        <v>#VALUE!</v>
      </c>
      <c r="H87" s="75" t="e">
        <f t="shared" si="28"/>
        <v>#VALUE!</v>
      </c>
      <c r="I87" s="74" t="e">
        <f t="shared" si="35"/>
        <v>#VALUE!</v>
      </c>
      <c r="J87" s="74" t="e">
        <f t="shared" si="35"/>
        <v>#VALUE!</v>
      </c>
      <c r="K87" s="74" t="e">
        <f t="shared" si="35"/>
        <v>#VALUE!</v>
      </c>
      <c r="L87" s="74" t="e">
        <f t="shared" si="35"/>
        <v>#VALUE!</v>
      </c>
      <c r="M87" s="74" t="e">
        <f t="shared" si="35"/>
        <v>#VALUE!</v>
      </c>
      <c r="N87" s="72" t="e">
        <f>IF('Growing data-Input'!E98&gt;0,'Growing data-Input'!E98,#N/A)</f>
        <v>#N/A</v>
      </c>
      <c r="P87" s="78" t="e">
        <f t="shared" si="33"/>
        <v>#VALUE!</v>
      </c>
      <c r="Q87" s="78" t="e">
        <f t="shared" si="33"/>
        <v>#VALUE!</v>
      </c>
    </row>
    <row r="88" spans="1:17" x14ac:dyDescent="0.2">
      <c r="A88" s="71">
        <v>83</v>
      </c>
      <c r="B88" s="7">
        <f t="shared" si="29"/>
        <v>11.71428571428571</v>
      </c>
      <c r="C88" s="74" t="e">
        <f t="shared" si="34"/>
        <v>#VALUE!</v>
      </c>
      <c r="D88" s="74" t="e">
        <f t="shared" si="34"/>
        <v>#VALUE!</v>
      </c>
      <c r="E88" s="74" t="e">
        <f t="shared" si="34"/>
        <v>#VALUE!</v>
      </c>
      <c r="F88" s="74" t="e">
        <f t="shared" si="34"/>
        <v>#VALUE!</v>
      </c>
      <c r="G88" s="74" t="e">
        <f t="shared" si="34"/>
        <v>#VALUE!</v>
      </c>
      <c r="H88" s="75" t="e">
        <f t="shared" si="28"/>
        <v>#VALUE!</v>
      </c>
      <c r="I88" s="74" t="e">
        <f t="shared" si="35"/>
        <v>#VALUE!</v>
      </c>
      <c r="J88" s="74" t="e">
        <f t="shared" si="35"/>
        <v>#VALUE!</v>
      </c>
      <c r="K88" s="74" t="e">
        <f t="shared" si="35"/>
        <v>#VALUE!</v>
      </c>
      <c r="L88" s="74" t="e">
        <f t="shared" si="35"/>
        <v>#VALUE!</v>
      </c>
      <c r="M88" s="74" t="e">
        <f t="shared" si="35"/>
        <v>#VALUE!</v>
      </c>
      <c r="N88" s="72" t="e">
        <f>IF('Growing data-Input'!E99&gt;0,'Growing data-Input'!E99,#N/A)</f>
        <v>#N/A</v>
      </c>
      <c r="P88" s="78" t="e">
        <f t="shared" si="33"/>
        <v>#VALUE!</v>
      </c>
      <c r="Q88" s="78" t="e">
        <f t="shared" si="33"/>
        <v>#VALUE!</v>
      </c>
    </row>
    <row r="89" spans="1:17" x14ac:dyDescent="0.2">
      <c r="A89" s="71">
        <v>84</v>
      </c>
      <c r="B89" s="7">
        <f t="shared" si="29"/>
        <v>11.857142857142852</v>
      </c>
      <c r="C89" s="74" t="e">
        <f t="shared" si="34"/>
        <v>#DIV/0!</v>
      </c>
      <c r="D89" s="74" t="e">
        <f t="shared" si="34"/>
        <v>#DIV/0!</v>
      </c>
      <c r="E89" s="74" t="e">
        <f t="shared" si="34"/>
        <v>#DIV/0!</v>
      </c>
      <c r="F89" s="74" t="e">
        <f t="shared" si="34"/>
        <v>#DIV/0!</v>
      </c>
      <c r="G89" s="74" t="e">
        <f t="shared" si="34"/>
        <v>#DIV/0!</v>
      </c>
      <c r="H89" s="75" t="e">
        <f t="shared" si="28"/>
        <v>#DIV/0!</v>
      </c>
      <c r="I89" s="74" t="e">
        <f t="shared" si="35"/>
        <v>#DIV/0!</v>
      </c>
      <c r="J89" s="74" t="e">
        <f t="shared" si="35"/>
        <v>#DIV/0!</v>
      </c>
      <c r="K89" s="74" t="e">
        <f t="shared" si="35"/>
        <v>#DIV/0!</v>
      </c>
      <c r="L89" s="74" t="e">
        <f t="shared" si="35"/>
        <v>#DIV/0!</v>
      </c>
      <c r="M89" s="74" t="e">
        <f t="shared" si="35"/>
        <v>#DIV/0!</v>
      </c>
      <c r="N89" s="72" t="e">
        <f>IF('Growing data-Input'!E100&gt;0,'Growing data-Input'!E100,#N/A)</f>
        <v>#N/A</v>
      </c>
      <c r="P89" s="78" t="str">
        <f>VLOOKUP($A89,$R$6:$T$24,2,FALSE)</f>
        <v/>
      </c>
      <c r="Q89" s="78" t="str">
        <f>VLOOKUP($A89,$R$6:$T$24,3,FALSE)</f>
        <v/>
      </c>
    </row>
    <row r="90" spans="1:17" x14ac:dyDescent="0.2">
      <c r="A90" s="71">
        <v>85</v>
      </c>
      <c r="B90" s="7">
        <f t="shared" si="29"/>
        <v>11.999999999999995</v>
      </c>
      <c r="C90" s="74" t="e">
        <f t="shared" si="34"/>
        <v>#VALUE!</v>
      </c>
      <c r="D90" s="74" t="e">
        <f t="shared" si="34"/>
        <v>#VALUE!</v>
      </c>
      <c r="E90" s="74" t="e">
        <f t="shared" si="34"/>
        <v>#VALUE!</v>
      </c>
      <c r="F90" s="74" t="e">
        <f t="shared" si="34"/>
        <v>#VALUE!</v>
      </c>
      <c r="G90" s="74" t="e">
        <f t="shared" si="34"/>
        <v>#VALUE!</v>
      </c>
      <c r="H90" s="75" t="e">
        <f t="shared" si="28"/>
        <v>#VALUE!</v>
      </c>
      <c r="I90" s="74" t="e">
        <f t="shared" si="35"/>
        <v>#VALUE!</v>
      </c>
      <c r="J90" s="74" t="e">
        <f t="shared" si="35"/>
        <v>#VALUE!</v>
      </c>
      <c r="K90" s="74" t="e">
        <f t="shared" si="35"/>
        <v>#VALUE!</v>
      </c>
      <c r="L90" s="74" t="e">
        <f t="shared" si="35"/>
        <v>#VALUE!</v>
      </c>
      <c r="M90" s="74" t="e">
        <f t="shared" si="35"/>
        <v>#VALUE!</v>
      </c>
      <c r="N90" s="72" t="e">
        <f>IF('Growing data-Input'!E101&gt;0,'Growing data-Input'!E101,#N/A)</f>
        <v>#N/A</v>
      </c>
      <c r="P90" s="78" t="e">
        <f t="shared" ref="P90:Q95" si="36">P89+$U$19/7</f>
        <v>#VALUE!</v>
      </c>
      <c r="Q90" s="78" t="e">
        <f t="shared" si="36"/>
        <v>#VALUE!</v>
      </c>
    </row>
    <row r="91" spans="1:17" x14ac:dyDescent="0.2">
      <c r="A91" s="71">
        <v>86</v>
      </c>
      <c r="B91" s="7">
        <f t="shared" si="29"/>
        <v>12.142857142857137</v>
      </c>
      <c r="C91" s="74" t="e">
        <f t="shared" si="34"/>
        <v>#VALUE!</v>
      </c>
      <c r="D91" s="74" t="e">
        <f t="shared" si="34"/>
        <v>#VALUE!</v>
      </c>
      <c r="E91" s="74" t="e">
        <f t="shared" si="34"/>
        <v>#VALUE!</v>
      </c>
      <c r="F91" s="74" t="e">
        <f t="shared" si="34"/>
        <v>#VALUE!</v>
      </c>
      <c r="G91" s="74" t="e">
        <f t="shared" si="34"/>
        <v>#VALUE!</v>
      </c>
      <c r="H91" s="75" t="e">
        <f t="shared" si="28"/>
        <v>#VALUE!</v>
      </c>
      <c r="I91" s="74" t="e">
        <f t="shared" si="35"/>
        <v>#VALUE!</v>
      </c>
      <c r="J91" s="74" t="e">
        <f t="shared" si="35"/>
        <v>#VALUE!</v>
      </c>
      <c r="K91" s="74" t="e">
        <f t="shared" si="35"/>
        <v>#VALUE!</v>
      </c>
      <c r="L91" s="74" t="e">
        <f t="shared" si="35"/>
        <v>#VALUE!</v>
      </c>
      <c r="M91" s="74" t="e">
        <f t="shared" si="35"/>
        <v>#VALUE!</v>
      </c>
      <c r="N91" s="72" t="e">
        <f>IF('Growing data-Input'!E102&gt;0,'Growing data-Input'!E102,#N/A)</f>
        <v>#N/A</v>
      </c>
      <c r="P91" s="78" t="e">
        <f t="shared" si="36"/>
        <v>#VALUE!</v>
      </c>
      <c r="Q91" s="78" t="e">
        <f t="shared" si="36"/>
        <v>#VALUE!</v>
      </c>
    </row>
    <row r="92" spans="1:17" x14ac:dyDescent="0.2">
      <c r="A92" s="71">
        <v>87</v>
      </c>
      <c r="B92" s="7">
        <f t="shared" si="29"/>
        <v>12.285714285714279</v>
      </c>
      <c r="C92" s="74" t="e">
        <f t="shared" si="34"/>
        <v>#VALUE!</v>
      </c>
      <c r="D92" s="74" t="e">
        <f t="shared" si="34"/>
        <v>#VALUE!</v>
      </c>
      <c r="E92" s="74" t="e">
        <f t="shared" si="34"/>
        <v>#VALUE!</v>
      </c>
      <c r="F92" s="74" t="e">
        <f t="shared" si="34"/>
        <v>#VALUE!</v>
      </c>
      <c r="G92" s="74" t="e">
        <f t="shared" si="34"/>
        <v>#VALUE!</v>
      </c>
      <c r="H92" s="75" t="e">
        <f t="shared" si="28"/>
        <v>#VALUE!</v>
      </c>
      <c r="I92" s="74" t="e">
        <f t="shared" si="35"/>
        <v>#VALUE!</v>
      </c>
      <c r="J92" s="74" t="e">
        <f t="shared" si="35"/>
        <v>#VALUE!</v>
      </c>
      <c r="K92" s="74" t="e">
        <f t="shared" si="35"/>
        <v>#VALUE!</v>
      </c>
      <c r="L92" s="74" t="e">
        <f t="shared" si="35"/>
        <v>#VALUE!</v>
      </c>
      <c r="M92" s="74" t="e">
        <f t="shared" si="35"/>
        <v>#VALUE!</v>
      </c>
      <c r="N92" s="72" t="e">
        <f>IF('Growing data-Input'!E103&gt;0,'Growing data-Input'!E103,#N/A)</f>
        <v>#N/A</v>
      </c>
      <c r="P92" s="78" t="e">
        <f t="shared" si="36"/>
        <v>#VALUE!</v>
      </c>
      <c r="Q92" s="78" t="e">
        <f t="shared" si="36"/>
        <v>#VALUE!</v>
      </c>
    </row>
    <row r="93" spans="1:17" x14ac:dyDescent="0.2">
      <c r="A93" s="71">
        <v>88</v>
      </c>
      <c r="B93" s="7">
        <f t="shared" si="29"/>
        <v>12.428571428571422</v>
      </c>
      <c r="C93" s="74" t="e">
        <f t="shared" si="34"/>
        <v>#VALUE!</v>
      </c>
      <c r="D93" s="74" t="e">
        <f t="shared" si="34"/>
        <v>#VALUE!</v>
      </c>
      <c r="E93" s="74" t="e">
        <f t="shared" si="34"/>
        <v>#VALUE!</v>
      </c>
      <c r="F93" s="74" t="e">
        <f t="shared" si="34"/>
        <v>#VALUE!</v>
      </c>
      <c r="G93" s="74" t="e">
        <f t="shared" si="34"/>
        <v>#VALUE!</v>
      </c>
      <c r="H93" s="75" t="e">
        <f t="shared" si="28"/>
        <v>#VALUE!</v>
      </c>
      <c r="I93" s="74" t="e">
        <f t="shared" si="35"/>
        <v>#VALUE!</v>
      </c>
      <c r="J93" s="74" t="e">
        <f t="shared" si="35"/>
        <v>#VALUE!</v>
      </c>
      <c r="K93" s="74" t="e">
        <f t="shared" si="35"/>
        <v>#VALUE!</v>
      </c>
      <c r="L93" s="74" t="e">
        <f t="shared" si="35"/>
        <v>#VALUE!</v>
      </c>
      <c r="M93" s="74" t="e">
        <f t="shared" si="35"/>
        <v>#VALUE!</v>
      </c>
      <c r="N93" s="72" t="e">
        <f>IF('Growing data-Input'!E104&gt;0,'Growing data-Input'!E104,#N/A)</f>
        <v>#N/A</v>
      </c>
      <c r="P93" s="78" t="e">
        <f t="shared" si="36"/>
        <v>#VALUE!</v>
      </c>
      <c r="Q93" s="78" t="e">
        <f t="shared" si="36"/>
        <v>#VALUE!</v>
      </c>
    </row>
    <row r="94" spans="1:17" x14ac:dyDescent="0.2">
      <c r="A94" s="71">
        <v>89</v>
      </c>
      <c r="B94" s="7">
        <f t="shared" si="29"/>
        <v>12.571428571428564</v>
      </c>
      <c r="C94" s="74" t="e">
        <f t="shared" si="34"/>
        <v>#VALUE!</v>
      </c>
      <c r="D94" s="74" t="e">
        <f t="shared" si="34"/>
        <v>#VALUE!</v>
      </c>
      <c r="E94" s="74" t="e">
        <f t="shared" si="34"/>
        <v>#VALUE!</v>
      </c>
      <c r="F94" s="74" t="e">
        <f t="shared" si="34"/>
        <v>#VALUE!</v>
      </c>
      <c r="G94" s="74" t="e">
        <f t="shared" si="34"/>
        <v>#VALUE!</v>
      </c>
      <c r="H94" s="75" t="e">
        <f t="shared" si="28"/>
        <v>#VALUE!</v>
      </c>
      <c r="I94" s="74" t="e">
        <f t="shared" si="35"/>
        <v>#VALUE!</v>
      </c>
      <c r="J94" s="74" t="e">
        <f t="shared" si="35"/>
        <v>#VALUE!</v>
      </c>
      <c r="K94" s="74" t="e">
        <f t="shared" si="35"/>
        <v>#VALUE!</v>
      </c>
      <c r="L94" s="74" t="e">
        <f t="shared" si="35"/>
        <v>#VALUE!</v>
      </c>
      <c r="M94" s="74" t="e">
        <f t="shared" si="35"/>
        <v>#VALUE!</v>
      </c>
      <c r="N94" s="72" t="e">
        <f>IF('Growing data-Input'!E105&gt;0,'Growing data-Input'!E105,#N/A)</f>
        <v>#N/A</v>
      </c>
      <c r="P94" s="78" t="e">
        <f t="shared" si="36"/>
        <v>#VALUE!</v>
      </c>
      <c r="Q94" s="78" t="e">
        <f t="shared" si="36"/>
        <v>#VALUE!</v>
      </c>
    </row>
    <row r="95" spans="1:17" x14ac:dyDescent="0.2">
      <c r="A95" s="71">
        <v>90</v>
      </c>
      <c r="B95" s="7">
        <f t="shared" si="29"/>
        <v>12.714285714285706</v>
      </c>
      <c r="C95" s="74" t="e">
        <f t="shared" si="34"/>
        <v>#VALUE!</v>
      </c>
      <c r="D95" s="74" t="e">
        <f t="shared" si="34"/>
        <v>#VALUE!</v>
      </c>
      <c r="E95" s="74" t="e">
        <f t="shared" si="34"/>
        <v>#VALUE!</v>
      </c>
      <c r="F95" s="74" t="e">
        <f t="shared" si="34"/>
        <v>#VALUE!</v>
      </c>
      <c r="G95" s="74" t="e">
        <f t="shared" si="34"/>
        <v>#VALUE!</v>
      </c>
      <c r="H95" s="75" t="e">
        <f t="shared" si="28"/>
        <v>#VALUE!</v>
      </c>
      <c r="I95" s="74" t="e">
        <f t="shared" si="35"/>
        <v>#VALUE!</v>
      </c>
      <c r="J95" s="74" t="e">
        <f t="shared" si="35"/>
        <v>#VALUE!</v>
      </c>
      <c r="K95" s="74" t="e">
        <f t="shared" si="35"/>
        <v>#VALUE!</v>
      </c>
      <c r="L95" s="74" t="e">
        <f t="shared" si="35"/>
        <v>#VALUE!</v>
      </c>
      <c r="M95" s="74" t="e">
        <f t="shared" si="35"/>
        <v>#VALUE!</v>
      </c>
      <c r="N95" s="72" t="e">
        <f>IF('Growing data-Input'!E106&gt;0,'Growing data-Input'!E106,#N/A)</f>
        <v>#N/A</v>
      </c>
      <c r="P95" s="78" t="e">
        <f t="shared" si="36"/>
        <v>#VALUE!</v>
      </c>
      <c r="Q95" s="78" t="e">
        <f t="shared" si="36"/>
        <v>#VALUE!</v>
      </c>
    </row>
    <row r="96" spans="1:17" x14ac:dyDescent="0.2">
      <c r="A96" s="71">
        <v>91</v>
      </c>
      <c r="B96" s="7">
        <f t="shared" si="29"/>
        <v>12.857142857142849</v>
      </c>
      <c r="C96" s="74" t="e">
        <f t="shared" ref="C96:G105" si="37">IF((D96*0.994)&lt;$P96,$P96,D96*0.994)</f>
        <v>#DIV/0!</v>
      </c>
      <c r="D96" s="74" t="e">
        <f t="shared" si="37"/>
        <v>#DIV/0!</v>
      </c>
      <c r="E96" s="74" t="e">
        <f t="shared" si="37"/>
        <v>#DIV/0!</v>
      </c>
      <c r="F96" s="74" t="e">
        <f t="shared" si="37"/>
        <v>#DIV/0!</v>
      </c>
      <c r="G96" s="74" t="e">
        <f t="shared" si="37"/>
        <v>#DIV/0!</v>
      </c>
      <c r="H96" s="75" t="e">
        <f t="shared" si="28"/>
        <v>#DIV/0!</v>
      </c>
      <c r="I96" s="74" t="e">
        <f t="shared" ref="I96:M105" si="38">IF((H96*1.006)&gt;$Q96,$Q96,H96*1.006)</f>
        <v>#DIV/0!</v>
      </c>
      <c r="J96" s="74" t="e">
        <f t="shared" si="38"/>
        <v>#DIV/0!</v>
      </c>
      <c r="K96" s="74" t="e">
        <f t="shared" si="38"/>
        <v>#DIV/0!</v>
      </c>
      <c r="L96" s="74" t="e">
        <f t="shared" si="38"/>
        <v>#DIV/0!</v>
      </c>
      <c r="M96" s="74" t="e">
        <f t="shared" si="38"/>
        <v>#DIV/0!</v>
      </c>
      <c r="N96" s="72" t="e">
        <f>IF('Growing data-Input'!E107&gt;0,'Growing data-Input'!E107,#N/A)</f>
        <v>#N/A</v>
      </c>
      <c r="P96" s="78" t="str">
        <f>VLOOKUP($A96,$R$6:$T$24,2,FALSE)</f>
        <v/>
      </c>
      <c r="Q96" s="78" t="str">
        <f>VLOOKUP($A96,$R$6:$T$24,3,FALSE)</f>
        <v/>
      </c>
    </row>
    <row r="97" spans="1:17" x14ac:dyDescent="0.2">
      <c r="A97" s="71">
        <v>92</v>
      </c>
      <c r="B97" s="7">
        <f t="shared" si="29"/>
        <v>12.999999999999991</v>
      </c>
      <c r="C97" s="74" t="e">
        <f t="shared" si="37"/>
        <v>#VALUE!</v>
      </c>
      <c r="D97" s="74" t="e">
        <f t="shared" si="37"/>
        <v>#VALUE!</v>
      </c>
      <c r="E97" s="74" t="e">
        <f t="shared" si="37"/>
        <v>#VALUE!</v>
      </c>
      <c r="F97" s="74" t="e">
        <f t="shared" si="37"/>
        <v>#VALUE!</v>
      </c>
      <c r="G97" s="74" t="e">
        <f t="shared" si="37"/>
        <v>#VALUE!</v>
      </c>
      <c r="H97" s="75" t="e">
        <f t="shared" si="28"/>
        <v>#VALUE!</v>
      </c>
      <c r="I97" s="74" t="e">
        <f t="shared" si="38"/>
        <v>#VALUE!</v>
      </c>
      <c r="J97" s="74" t="e">
        <f t="shared" si="38"/>
        <v>#VALUE!</v>
      </c>
      <c r="K97" s="74" t="e">
        <f t="shared" si="38"/>
        <v>#VALUE!</v>
      </c>
      <c r="L97" s="74" t="e">
        <f t="shared" si="38"/>
        <v>#VALUE!</v>
      </c>
      <c r="M97" s="74" t="e">
        <f t="shared" si="38"/>
        <v>#VALUE!</v>
      </c>
      <c r="N97" s="72" t="e">
        <f>IF('Growing data-Input'!E108&gt;0,'Growing data-Input'!E108,#N/A)</f>
        <v>#N/A</v>
      </c>
      <c r="P97" s="78" t="e">
        <f t="shared" ref="P97:Q102" si="39">P96+$U$20/7</f>
        <v>#VALUE!</v>
      </c>
      <c r="Q97" s="78" t="e">
        <f t="shared" si="39"/>
        <v>#VALUE!</v>
      </c>
    </row>
    <row r="98" spans="1:17" x14ac:dyDescent="0.2">
      <c r="A98" s="71">
        <v>93</v>
      </c>
      <c r="B98" s="7">
        <f t="shared" si="29"/>
        <v>13.142857142857133</v>
      </c>
      <c r="C98" s="74" t="e">
        <f t="shared" si="37"/>
        <v>#VALUE!</v>
      </c>
      <c r="D98" s="74" t="e">
        <f t="shared" si="37"/>
        <v>#VALUE!</v>
      </c>
      <c r="E98" s="74" t="e">
        <f t="shared" si="37"/>
        <v>#VALUE!</v>
      </c>
      <c r="F98" s="74" t="e">
        <f t="shared" si="37"/>
        <v>#VALUE!</v>
      </c>
      <c r="G98" s="74" t="e">
        <f t="shared" si="37"/>
        <v>#VALUE!</v>
      </c>
      <c r="H98" s="75" t="e">
        <f t="shared" si="28"/>
        <v>#VALUE!</v>
      </c>
      <c r="I98" s="74" t="e">
        <f t="shared" si="38"/>
        <v>#VALUE!</v>
      </c>
      <c r="J98" s="74" t="e">
        <f t="shared" si="38"/>
        <v>#VALUE!</v>
      </c>
      <c r="K98" s="74" t="e">
        <f t="shared" si="38"/>
        <v>#VALUE!</v>
      </c>
      <c r="L98" s="74" t="e">
        <f t="shared" si="38"/>
        <v>#VALUE!</v>
      </c>
      <c r="M98" s="74" t="e">
        <f t="shared" si="38"/>
        <v>#VALUE!</v>
      </c>
      <c r="N98" s="72" t="e">
        <f>IF('Growing data-Input'!E109&gt;0,'Growing data-Input'!E109,#N/A)</f>
        <v>#N/A</v>
      </c>
      <c r="P98" s="78" t="e">
        <f t="shared" si="39"/>
        <v>#VALUE!</v>
      </c>
      <c r="Q98" s="78" t="e">
        <f t="shared" si="39"/>
        <v>#VALUE!</v>
      </c>
    </row>
    <row r="99" spans="1:17" x14ac:dyDescent="0.2">
      <c r="A99" s="71">
        <v>94</v>
      </c>
      <c r="B99" s="7">
        <f t="shared" si="29"/>
        <v>13.285714285714276</v>
      </c>
      <c r="C99" s="74" t="e">
        <f t="shared" si="37"/>
        <v>#VALUE!</v>
      </c>
      <c r="D99" s="74" t="e">
        <f t="shared" si="37"/>
        <v>#VALUE!</v>
      </c>
      <c r="E99" s="74" t="e">
        <f t="shared" si="37"/>
        <v>#VALUE!</v>
      </c>
      <c r="F99" s="74" t="e">
        <f t="shared" si="37"/>
        <v>#VALUE!</v>
      </c>
      <c r="G99" s="74" t="e">
        <f t="shared" si="37"/>
        <v>#VALUE!</v>
      </c>
      <c r="H99" s="75" t="e">
        <f t="shared" si="28"/>
        <v>#VALUE!</v>
      </c>
      <c r="I99" s="74" t="e">
        <f t="shared" si="38"/>
        <v>#VALUE!</v>
      </c>
      <c r="J99" s="74" t="e">
        <f t="shared" si="38"/>
        <v>#VALUE!</v>
      </c>
      <c r="K99" s="74" t="e">
        <f t="shared" si="38"/>
        <v>#VALUE!</v>
      </c>
      <c r="L99" s="74" t="e">
        <f t="shared" si="38"/>
        <v>#VALUE!</v>
      </c>
      <c r="M99" s="74" t="e">
        <f t="shared" si="38"/>
        <v>#VALUE!</v>
      </c>
      <c r="N99" s="72" t="e">
        <f>IF('Growing data-Input'!E110&gt;0,'Growing data-Input'!E110,#N/A)</f>
        <v>#N/A</v>
      </c>
      <c r="P99" s="78" t="e">
        <f t="shared" si="39"/>
        <v>#VALUE!</v>
      </c>
      <c r="Q99" s="78" t="e">
        <f t="shared" si="39"/>
        <v>#VALUE!</v>
      </c>
    </row>
    <row r="100" spans="1:17" x14ac:dyDescent="0.2">
      <c r="A100" s="71">
        <v>95</v>
      </c>
      <c r="B100" s="7">
        <f t="shared" si="29"/>
        <v>13.428571428571418</v>
      </c>
      <c r="C100" s="74" t="e">
        <f t="shared" si="37"/>
        <v>#VALUE!</v>
      </c>
      <c r="D100" s="74" t="e">
        <f t="shared" si="37"/>
        <v>#VALUE!</v>
      </c>
      <c r="E100" s="74" t="e">
        <f t="shared" si="37"/>
        <v>#VALUE!</v>
      </c>
      <c r="F100" s="74" t="e">
        <f t="shared" si="37"/>
        <v>#VALUE!</v>
      </c>
      <c r="G100" s="74" t="e">
        <f t="shared" si="37"/>
        <v>#VALUE!</v>
      </c>
      <c r="H100" s="75" t="e">
        <f t="shared" si="28"/>
        <v>#VALUE!</v>
      </c>
      <c r="I100" s="74" t="e">
        <f t="shared" si="38"/>
        <v>#VALUE!</v>
      </c>
      <c r="J100" s="74" t="e">
        <f t="shared" si="38"/>
        <v>#VALUE!</v>
      </c>
      <c r="K100" s="74" t="e">
        <f t="shared" si="38"/>
        <v>#VALUE!</v>
      </c>
      <c r="L100" s="74" t="e">
        <f t="shared" si="38"/>
        <v>#VALUE!</v>
      </c>
      <c r="M100" s="74" t="e">
        <f t="shared" si="38"/>
        <v>#VALUE!</v>
      </c>
      <c r="N100" s="72" t="e">
        <f>IF('Growing data-Input'!E111&gt;0,'Growing data-Input'!E111,#N/A)</f>
        <v>#N/A</v>
      </c>
      <c r="P100" s="78" t="e">
        <f t="shared" si="39"/>
        <v>#VALUE!</v>
      </c>
      <c r="Q100" s="78" t="e">
        <f t="shared" si="39"/>
        <v>#VALUE!</v>
      </c>
    </row>
    <row r="101" spans="1:17" x14ac:dyDescent="0.2">
      <c r="A101" s="71">
        <v>96</v>
      </c>
      <c r="B101" s="7">
        <f t="shared" si="29"/>
        <v>13.571428571428561</v>
      </c>
      <c r="C101" s="74" t="e">
        <f t="shared" si="37"/>
        <v>#VALUE!</v>
      </c>
      <c r="D101" s="74" t="e">
        <f t="shared" si="37"/>
        <v>#VALUE!</v>
      </c>
      <c r="E101" s="74" t="e">
        <f t="shared" si="37"/>
        <v>#VALUE!</v>
      </c>
      <c r="F101" s="74" t="e">
        <f t="shared" si="37"/>
        <v>#VALUE!</v>
      </c>
      <c r="G101" s="74" t="e">
        <f t="shared" si="37"/>
        <v>#VALUE!</v>
      </c>
      <c r="H101" s="75" t="e">
        <f t="shared" si="28"/>
        <v>#VALUE!</v>
      </c>
      <c r="I101" s="74" t="e">
        <f t="shared" si="38"/>
        <v>#VALUE!</v>
      </c>
      <c r="J101" s="74" t="e">
        <f t="shared" si="38"/>
        <v>#VALUE!</v>
      </c>
      <c r="K101" s="74" t="e">
        <f t="shared" si="38"/>
        <v>#VALUE!</v>
      </c>
      <c r="L101" s="74" t="e">
        <f t="shared" si="38"/>
        <v>#VALUE!</v>
      </c>
      <c r="M101" s="74" t="e">
        <f t="shared" si="38"/>
        <v>#VALUE!</v>
      </c>
      <c r="N101" s="72" t="e">
        <f>IF('Growing data-Input'!E112&gt;0,'Growing data-Input'!E112,#N/A)</f>
        <v>#N/A</v>
      </c>
      <c r="P101" s="78" t="e">
        <f t="shared" si="39"/>
        <v>#VALUE!</v>
      </c>
      <c r="Q101" s="78" t="e">
        <f t="shared" si="39"/>
        <v>#VALUE!</v>
      </c>
    </row>
    <row r="102" spans="1:17" x14ac:dyDescent="0.2">
      <c r="A102" s="71">
        <v>97</v>
      </c>
      <c r="B102" s="7">
        <f t="shared" si="29"/>
        <v>13.714285714285703</v>
      </c>
      <c r="C102" s="74" t="e">
        <f t="shared" si="37"/>
        <v>#VALUE!</v>
      </c>
      <c r="D102" s="74" t="e">
        <f t="shared" si="37"/>
        <v>#VALUE!</v>
      </c>
      <c r="E102" s="74" t="e">
        <f t="shared" si="37"/>
        <v>#VALUE!</v>
      </c>
      <c r="F102" s="74" t="e">
        <f t="shared" si="37"/>
        <v>#VALUE!</v>
      </c>
      <c r="G102" s="74" t="e">
        <f t="shared" si="37"/>
        <v>#VALUE!</v>
      </c>
      <c r="H102" s="75" t="e">
        <f t="shared" si="28"/>
        <v>#VALUE!</v>
      </c>
      <c r="I102" s="74" t="e">
        <f t="shared" si="38"/>
        <v>#VALUE!</v>
      </c>
      <c r="J102" s="74" t="e">
        <f t="shared" si="38"/>
        <v>#VALUE!</v>
      </c>
      <c r="K102" s="74" t="e">
        <f t="shared" si="38"/>
        <v>#VALUE!</v>
      </c>
      <c r="L102" s="74" t="e">
        <f t="shared" si="38"/>
        <v>#VALUE!</v>
      </c>
      <c r="M102" s="74" t="e">
        <f t="shared" si="38"/>
        <v>#VALUE!</v>
      </c>
      <c r="N102" s="72" t="e">
        <f>IF('Growing data-Input'!E113&gt;0,'Growing data-Input'!E113,#N/A)</f>
        <v>#N/A</v>
      </c>
      <c r="P102" s="78" t="e">
        <f t="shared" si="39"/>
        <v>#VALUE!</v>
      </c>
      <c r="Q102" s="78" t="e">
        <f t="shared" si="39"/>
        <v>#VALUE!</v>
      </c>
    </row>
    <row r="103" spans="1:17" x14ac:dyDescent="0.2">
      <c r="A103" s="71">
        <v>98</v>
      </c>
      <c r="B103" s="7">
        <f t="shared" si="29"/>
        <v>13.857142857142845</v>
      </c>
      <c r="C103" s="74" t="e">
        <f t="shared" si="37"/>
        <v>#DIV/0!</v>
      </c>
      <c r="D103" s="74" t="e">
        <f t="shared" si="37"/>
        <v>#DIV/0!</v>
      </c>
      <c r="E103" s="74" t="e">
        <f t="shared" si="37"/>
        <v>#DIV/0!</v>
      </c>
      <c r="F103" s="74" t="e">
        <f t="shared" si="37"/>
        <v>#DIV/0!</v>
      </c>
      <c r="G103" s="74" t="e">
        <f t="shared" si="37"/>
        <v>#DIV/0!</v>
      </c>
      <c r="H103" s="75" t="e">
        <f t="shared" si="28"/>
        <v>#DIV/0!</v>
      </c>
      <c r="I103" s="74" t="e">
        <f t="shared" si="38"/>
        <v>#DIV/0!</v>
      </c>
      <c r="J103" s="74" t="e">
        <f t="shared" si="38"/>
        <v>#DIV/0!</v>
      </c>
      <c r="K103" s="74" t="e">
        <f t="shared" si="38"/>
        <v>#DIV/0!</v>
      </c>
      <c r="L103" s="74" t="e">
        <f t="shared" si="38"/>
        <v>#DIV/0!</v>
      </c>
      <c r="M103" s="74" t="e">
        <f t="shared" si="38"/>
        <v>#DIV/0!</v>
      </c>
      <c r="N103" s="72" t="e">
        <f>IF('Growing data-Input'!E114&gt;0,'Growing data-Input'!E114,#N/A)</f>
        <v>#N/A</v>
      </c>
      <c r="P103" s="78" t="str">
        <f>VLOOKUP($A103,$R$6:$T$24,2,FALSE)</f>
        <v/>
      </c>
      <c r="Q103" s="78" t="str">
        <f>VLOOKUP($A103,$R$6:$T$24,3,FALSE)</f>
        <v/>
      </c>
    </row>
    <row r="104" spans="1:17" x14ac:dyDescent="0.2">
      <c r="A104" s="71">
        <v>99</v>
      </c>
      <c r="B104" s="7">
        <f t="shared" si="29"/>
        <v>13.999999999999988</v>
      </c>
      <c r="C104" s="74" t="e">
        <f t="shared" si="37"/>
        <v>#VALUE!</v>
      </c>
      <c r="D104" s="74" t="e">
        <f t="shared" si="37"/>
        <v>#VALUE!</v>
      </c>
      <c r="E104" s="74" t="e">
        <f t="shared" si="37"/>
        <v>#VALUE!</v>
      </c>
      <c r="F104" s="74" t="e">
        <f t="shared" si="37"/>
        <v>#VALUE!</v>
      </c>
      <c r="G104" s="74" t="e">
        <f t="shared" si="37"/>
        <v>#VALUE!</v>
      </c>
      <c r="H104" s="75" t="e">
        <f t="shared" si="28"/>
        <v>#VALUE!</v>
      </c>
      <c r="I104" s="74" t="e">
        <f t="shared" si="38"/>
        <v>#VALUE!</v>
      </c>
      <c r="J104" s="74" t="e">
        <f t="shared" si="38"/>
        <v>#VALUE!</v>
      </c>
      <c r="K104" s="74" t="e">
        <f t="shared" si="38"/>
        <v>#VALUE!</v>
      </c>
      <c r="L104" s="74" t="e">
        <f t="shared" si="38"/>
        <v>#VALUE!</v>
      </c>
      <c r="M104" s="74" t="e">
        <f t="shared" si="38"/>
        <v>#VALUE!</v>
      </c>
      <c r="N104" s="72" t="e">
        <f>IF('Growing data-Input'!E115&gt;0,'Growing data-Input'!E115,#N/A)</f>
        <v>#N/A</v>
      </c>
      <c r="P104" s="78" t="e">
        <f t="shared" ref="P104:Q109" si="40">P103+$U$21/7</f>
        <v>#VALUE!</v>
      </c>
      <c r="Q104" s="78" t="e">
        <f t="shared" si="40"/>
        <v>#VALUE!</v>
      </c>
    </row>
    <row r="105" spans="1:17" x14ac:dyDescent="0.2">
      <c r="A105" s="71">
        <v>100</v>
      </c>
      <c r="B105" s="7">
        <f t="shared" si="29"/>
        <v>14.14285714285713</v>
      </c>
      <c r="C105" s="74" t="e">
        <f t="shared" si="37"/>
        <v>#VALUE!</v>
      </c>
      <c r="D105" s="74" t="e">
        <f t="shared" si="37"/>
        <v>#VALUE!</v>
      </c>
      <c r="E105" s="74" t="e">
        <f t="shared" si="37"/>
        <v>#VALUE!</v>
      </c>
      <c r="F105" s="74" t="e">
        <f t="shared" si="37"/>
        <v>#VALUE!</v>
      </c>
      <c r="G105" s="74" t="e">
        <f t="shared" si="37"/>
        <v>#VALUE!</v>
      </c>
      <c r="H105" s="75" t="e">
        <f t="shared" si="28"/>
        <v>#VALUE!</v>
      </c>
      <c r="I105" s="74" t="e">
        <f t="shared" si="38"/>
        <v>#VALUE!</v>
      </c>
      <c r="J105" s="74" t="e">
        <f t="shared" si="38"/>
        <v>#VALUE!</v>
      </c>
      <c r="K105" s="74" t="e">
        <f t="shared" si="38"/>
        <v>#VALUE!</v>
      </c>
      <c r="L105" s="74" t="e">
        <f t="shared" si="38"/>
        <v>#VALUE!</v>
      </c>
      <c r="M105" s="74" t="e">
        <f t="shared" si="38"/>
        <v>#VALUE!</v>
      </c>
      <c r="N105" s="72" t="e">
        <f>IF('Growing data-Input'!E116&gt;0,'Growing data-Input'!E116,#N/A)</f>
        <v>#N/A</v>
      </c>
      <c r="P105" s="78" t="e">
        <f t="shared" si="40"/>
        <v>#VALUE!</v>
      </c>
      <c r="Q105" s="78" t="e">
        <f t="shared" si="40"/>
        <v>#VALUE!</v>
      </c>
    </row>
    <row r="106" spans="1:17" x14ac:dyDescent="0.2">
      <c r="A106" s="71">
        <v>101</v>
      </c>
      <c r="B106" s="7">
        <f t="shared" si="29"/>
        <v>14.285714285714272</v>
      </c>
      <c r="C106" s="74" t="e">
        <f t="shared" ref="C106:G115" si="41">IF((D106*0.994)&lt;$P106,$P106,D106*0.994)</f>
        <v>#VALUE!</v>
      </c>
      <c r="D106" s="74" t="e">
        <f t="shared" si="41"/>
        <v>#VALUE!</v>
      </c>
      <c r="E106" s="74" t="e">
        <f t="shared" si="41"/>
        <v>#VALUE!</v>
      </c>
      <c r="F106" s="74" t="e">
        <f t="shared" si="41"/>
        <v>#VALUE!</v>
      </c>
      <c r="G106" s="74" t="e">
        <f t="shared" si="41"/>
        <v>#VALUE!</v>
      </c>
      <c r="H106" s="75" t="e">
        <f t="shared" si="28"/>
        <v>#VALUE!</v>
      </c>
      <c r="I106" s="74" t="e">
        <f t="shared" ref="I106:M115" si="42">IF((H106*1.006)&gt;$Q106,$Q106,H106*1.006)</f>
        <v>#VALUE!</v>
      </c>
      <c r="J106" s="74" t="e">
        <f t="shared" si="42"/>
        <v>#VALUE!</v>
      </c>
      <c r="K106" s="74" t="e">
        <f t="shared" si="42"/>
        <v>#VALUE!</v>
      </c>
      <c r="L106" s="74" t="e">
        <f t="shared" si="42"/>
        <v>#VALUE!</v>
      </c>
      <c r="M106" s="74" t="e">
        <f t="shared" si="42"/>
        <v>#VALUE!</v>
      </c>
      <c r="N106" s="72" t="e">
        <f>IF('Growing data-Input'!E117&gt;0,'Growing data-Input'!E117,#N/A)</f>
        <v>#N/A</v>
      </c>
      <c r="P106" s="78" t="e">
        <f t="shared" si="40"/>
        <v>#VALUE!</v>
      </c>
      <c r="Q106" s="78" t="e">
        <f t="shared" si="40"/>
        <v>#VALUE!</v>
      </c>
    </row>
    <row r="107" spans="1:17" x14ac:dyDescent="0.2">
      <c r="A107" s="71">
        <v>102</v>
      </c>
      <c r="B107" s="7">
        <f t="shared" si="29"/>
        <v>14.428571428571415</v>
      </c>
      <c r="C107" s="74" t="e">
        <f t="shared" si="41"/>
        <v>#VALUE!</v>
      </c>
      <c r="D107" s="74" t="e">
        <f t="shared" si="41"/>
        <v>#VALUE!</v>
      </c>
      <c r="E107" s="74" t="e">
        <f t="shared" si="41"/>
        <v>#VALUE!</v>
      </c>
      <c r="F107" s="74" t="e">
        <f t="shared" si="41"/>
        <v>#VALUE!</v>
      </c>
      <c r="G107" s="74" t="e">
        <f t="shared" si="41"/>
        <v>#VALUE!</v>
      </c>
      <c r="H107" s="75" t="e">
        <f t="shared" si="28"/>
        <v>#VALUE!</v>
      </c>
      <c r="I107" s="74" t="e">
        <f t="shared" si="42"/>
        <v>#VALUE!</v>
      </c>
      <c r="J107" s="74" t="e">
        <f t="shared" si="42"/>
        <v>#VALUE!</v>
      </c>
      <c r="K107" s="74" t="e">
        <f t="shared" si="42"/>
        <v>#VALUE!</v>
      </c>
      <c r="L107" s="74" t="e">
        <f t="shared" si="42"/>
        <v>#VALUE!</v>
      </c>
      <c r="M107" s="74" t="e">
        <f t="shared" si="42"/>
        <v>#VALUE!</v>
      </c>
      <c r="N107" s="72" t="e">
        <f>IF('Growing data-Input'!E118&gt;0,'Growing data-Input'!E118,#N/A)</f>
        <v>#N/A</v>
      </c>
      <c r="P107" s="78" t="e">
        <f t="shared" si="40"/>
        <v>#VALUE!</v>
      </c>
      <c r="Q107" s="78" t="e">
        <f t="shared" si="40"/>
        <v>#VALUE!</v>
      </c>
    </row>
    <row r="108" spans="1:17" x14ac:dyDescent="0.2">
      <c r="A108" s="71">
        <v>103</v>
      </c>
      <c r="B108" s="7">
        <f t="shared" si="29"/>
        <v>14.571428571428557</v>
      </c>
      <c r="C108" s="74" t="e">
        <f t="shared" si="41"/>
        <v>#VALUE!</v>
      </c>
      <c r="D108" s="74" t="e">
        <f t="shared" si="41"/>
        <v>#VALUE!</v>
      </c>
      <c r="E108" s="74" t="e">
        <f t="shared" si="41"/>
        <v>#VALUE!</v>
      </c>
      <c r="F108" s="74" t="e">
        <f t="shared" si="41"/>
        <v>#VALUE!</v>
      </c>
      <c r="G108" s="74" t="e">
        <f t="shared" si="41"/>
        <v>#VALUE!</v>
      </c>
      <c r="H108" s="75" t="e">
        <f t="shared" si="28"/>
        <v>#VALUE!</v>
      </c>
      <c r="I108" s="74" t="e">
        <f t="shared" si="42"/>
        <v>#VALUE!</v>
      </c>
      <c r="J108" s="74" t="e">
        <f t="shared" si="42"/>
        <v>#VALUE!</v>
      </c>
      <c r="K108" s="74" t="e">
        <f t="shared" si="42"/>
        <v>#VALUE!</v>
      </c>
      <c r="L108" s="74" t="e">
        <f t="shared" si="42"/>
        <v>#VALUE!</v>
      </c>
      <c r="M108" s="74" t="e">
        <f t="shared" si="42"/>
        <v>#VALUE!</v>
      </c>
      <c r="N108" s="72" t="e">
        <f>IF('Growing data-Input'!E119&gt;0,'Growing data-Input'!E119,#N/A)</f>
        <v>#N/A</v>
      </c>
      <c r="P108" s="78" t="e">
        <f t="shared" si="40"/>
        <v>#VALUE!</v>
      </c>
      <c r="Q108" s="78" t="e">
        <f t="shared" si="40"/>
        <v>#VALUE!</v>
      </c>
    </row>
    <row r="109" spans="1:17" x14ac:dyDescent="0.2">
      <c r="A109" s="71">
        <v>104</v>
      </c>
      <c r="B109" s="7">
        <f t="shared" si="29"/>
        <v>14.714285714285699</v>
      </c>
      <c r="C109" s="74" t="e">
        <f t="shared" si="41"/>
        <v>#VALUE!</v>
      </c>
      <c r="D109" s="74" t="e">
        <f t="shared" si="41"/>
        <v>#VALUE!</v>
      </c>
      <c r="E109" s="74" t="e">
        <f t="shared" si="41"/>
        <v>#VALUE!</v>
      </c>
      <c r="F109" s="74" t="e">
        <f t="shared" si="41"/>
        <v>#VALUE!</v>
      </c>
      <c r="G109" s="74" t="e">
        <f t="shared" si="41"/>
        <v>#VALUE!</v>
      </c>
      <c r="H109" s="75" t="e">
        <f t="shared" si="28"/>
        <v>#VALUE!</v>
      </c>
      <c r="I109" s="74" t="e">
        <f t="shared" si="42"/>
        <v>#VALUE!</v>
      </c>
      <c r="J109" s="74" t="e">
        <f t="shared" si="42"/>
        <v>#VALUE!</v>
      </c>
      <c r="K109" s="74" t="e">
        <f t="shared" si="42"/>
        <v>#VALUE!</v>
      </c>
      <c r="L109" s="74" t="e">
        <f t="shared" si="42"/>
        <v>#VALUE!</v>
      </c>
      <c r="M109" s="74" t="e">
        <f t="shared" si="42"/>
        <v>#VALUE!</v>
      </c>
      <c r="N109" s="72" t="e">
        <f>IF('Growing data-Input'!E120&gt;0,'Growing data-Input'!E120,#N/A)</f>
        <v>#N/A</v>
      </c>
      <c r="P109" s="78" t="e">
        <f t="shared" si="40"/>
        <v>#VALUE!</v>
      </c>
      <c r="Q109" s="78" t="e">
        <f t="shared" si="40"/>
        <v>#VALUE!</v>
      </c>
    </row>
    <row r="110" spans="1:17" x14ac:dyDescent="0.2">
      <c r="A110" s="71">
        <v>105</v>
      </c>
      <c r="B110" s="7">
        <f t="shared" si="29"/>
        <v>14.857142857142842</v>
      </c>
      <c r="C110" s="74" t="e">
        <f t="shared" si="41"/>
        <v>#DIV/0!</v>
      </c>
      <c r="D110" s="74" t="e">
        <f t="shared" si="41"/>
        <v>#DIV/0!</v>
      </c>
      <c r="E110" s="74" t="e">
        <f t="shared" si="41"/>
        <v>#DIV/0!</v>
      </c>
      <c r="F110" s="74" t="e">
        <f t="shared" si="41"/>
        <v>#DIV/0!</v>
      </c>
      <c r="G110" s="74" t="e">
        <f t="shared" si="41"/>
        <v>#DIV/0!</v>
      </c>
      <c r="H110" s="75" t="e">
        <f t="shared" si="28"/>
        <v>#DIV/0!</v>
      </c>
      <c r="I110" s="74" t="e">
        <f t="shared" si="42"/>
        <v>#DIV/0!</v>
      </c>
      <c r="J110" s="74" t="e">
        <f t="shared" si="42"/>
        <v>#DIV/0!</v>
      </c>
      <c r="K110" s="74" t="e">
        <f t="shared" si="42"/>
        <v>#DIV/0!</v>
      </c>
      <c r="L110" s="74" t="e">
        <f t="shared" si="42"/>
        <v>#DIV/0!</v>
      </c>
      <c r="M110" s="74" t="e">
        <f t="shared" si="42"/>
        <v>#DIV/0!</v>
      </c>
      <c r="N110" s="72" t="e">
        <f>IF('Growing data-Input'!E121&gt;0,'Growing data-Input'!E121,#N/A)</f>
        <v>#N/A</v>
      </c>
      <c r="P110" s="78" t="str">
        <f>VLOOKUP($A110,$R$6:$T$24,2,FALSE)</f>
        <v/>
      </c>
      <c r="Q110" s="78" t="str">
        <f>VLOOKUP($A110,$R$6:$T$24,3,FALSE)</f>
        <v/>
      </c>
    </row>
    <row r="111" spans="1:17" x14ac:dyDescent="0.2">
      <c r="A111" s="71">
        <v>106</v>
      </c>
      <c r="B111" s="7">
        <f t="shared" si="29"/>
        <v>14.999999999999984</v>
      </c>
      <c r="C111" s="74" t="e">
        <f t="shared" si="41"/>
        <v>#VALUE!</v>
      </c>
      <c r="D111" s="74" t="e">
        <f t="shared" si="41"/>
        <v>#VALUE!</v>
      </c>
      <c r="E111" s="74" t="e">
        <f t="shared" si="41"/>
        <v>#VALUE!</v>
      </c>
      <c r="F111" s="74" t="e">
        <f t="shared" si="41"/>
        <v>#VALUE!</v>
      </c>
      <c r="G111" s="74" t="e">
        <f t="shared" si="41"/>
        <v>#VALUE!</v>
      </c>
      <c r="H111" s="75" t="e">
        <f t="shared" si="28"/>
        <v>#VALUE!</v>
      </c>
      <c r="I111" s="74" t="e">
        <f t="shared" si="42"/>
        <v>#VALUE!</v>
      </c>
      <c r="J111" s="74" t="e">
        <f t="shared" si="42"/>
        <v>#VALUE!</v>
      </c>
      <c r="K111" s="74" t="e">
        <f t="shared" si="42"/>
        <v>#VALUE!</v>
      </c>
      <c r="L111" s="74" t="e">
        <f t="shared" si="42"/>
        <v>#VALUE!</v>
      </c>
      <c r="M111" s="74" t="e">
        <f t="shared" si="42"/>
        <v>#VALUE!</v>
      </c>
      <c r="N111" s="72" t="e">
        <f>IF('Growing data-Input'!E122&gt;0,'Growing data-Input'!E122,#N/A)</f>
        <v>#N/A</v>
      </c>
      <c r="P111" s="78" t="e">
        <f t="shared" ref="P111:Q116" si="43">P110+$U$22/7</f>
        <v>#VALUE!</v>
      </c>
      <c r="Q111" s="78" t="e">
        <f t="shared" si="43"/>
        <v>#VALUE!</v>
      </c>
    </row>
    <row r="112" spans="1:17" x14ac:dyDescent="0.2">
      <c r="A112" s="71">
        <v>107</v>
      </c>
      <c r="B112" s="7">
        <f t="shared" si="29"/>
        <v>15.142857142857126</v>
      </c>
      <c r="C112" s="74" t="e">
        <f t="shared" si="41"/>
        <v>#VALUE!</v>
      </c>
      <c r="D112" s="74" t="e">
        <f t="shared" si="41"/>
        <v>#VALUE!</v>
      </c>
      <c r="E112" s="74" t="e">
        <f t="shared" si="41"/>
        <v>#VALUE!</v>
      </c>
      <c r="F112" s="74" t="e">
        <f t="shared" si="41"/>
        <v>#VALUE!</v>
      </c>
      <c r="G112" s="74" t="e">
        <f t="shared" si="41"/>
        <v>#VALUE!</v>
      </c>
      <c r="H112" s="75" t="e">
        <f t="shared" si="28"/>
        <v>#VALUE!</v>
      </c>
      <c r="I112" s="74" t="e">
        <f t="shared" si="42"/>
        <v>#VALUE!</v>
      </c>
      <c r="J112" s="74" t="e">
        <f t="shared" si="42"/>
        <v>#VALUE!</v>
      </c>
      <c r="K112" s="74" t="e">
        <f t="shared" si="42"/>
        <v>#VALUE!</v>
      </c>
      <c r="L112" s="74" t="e">
        <f t="shared" si="42"/>
        <v>#VALUE!</v>
      </c>
      <c r="M112" s="74" t="e">
        <f t="shared" si="42"/>
        <v>#VALUE!</v>
      </c>
      <c r="N112" s="72" t="e">
        <f>IF('Growing data-Input'!E123&gt;0,'Growing data-Input'!E123,#N/A)</f>
        <v>#N/A</v>
      </c>
      <c r="P112" s="78" t="e">
        <f t="shared" si="43"/>
        <v>#VALUE!</v>
      </c>
      <c r="Q112" s="78" t="e">
        <f t="shared" si="43"/>
        <v>#VALUE!</v>
      </c>
    </row>
    <row r="113" spans="1:17" x14ac:dyDescent="0.2">
      <c r="A113" s="71">
        <v>108</v>
      </c>
      <c r="B113" s="7">
        <f t="shared" si="29"/>
        <v>15.285714285714269</v>
      </c>
      <c r="C113" s="74" t="e">
        <f t="shared" si="41"/>
        <v>#VALUE!</v>
      </c>
      <c r="D113" s="74" t="e">
        <f t="shared" si="41"/>
        <v>#VALUE!</v>
      </c>
      <c r="E113" s="74" t="e">
        <f t="shared" si="41"/>
        <v>#VALUE!</v>
      </c>
      <c r="F113" s="74" t="e">
        <f t="shared" si="41"/>
        <v>#VALUE!</v>
      </c>
      <c r="G113" s="74" t="e">
        <f t="shared" si="41"/>
        <v>#VALUE!</v>
      </c>
      <c r="H113" s="75" t="e">
        <f t="shared" si="28"/>
        <v>#VALUE!</v>
      </c>
      <c r="I113" s="74" t="e">
        <f t="shared" si="42"/>
        <v>#VALUE!</v>
      </c>
      <c r="J113" s="74" t="e">
        <f t="shared" si="42"/>
        <v>#VALUE!</v>
      </c>
      <c r="K113" s="74" t="e">
        <f t="shared" si="42"/>
        <v>#VALUE!</v>
      </c>
      <c r="L113" s="74" t="e">
        <f t="shared" si="42"/>
        <v>#VALUE!</v>
      </c>
      <c r="M113" s="74" t="e">
        <f t="shared" si="42"/>
        <v>#VALUE!</v>
      </c>
      <c r="N113" s="72" t="e">
        <f>IF('Growing data-Input'!E124&gt;0,'Growing data-Input'!E124,#N/A)</f>
        <v>#N/A</v>
      </c>
      <c r="P113" s="78" t="e">
        <f t="shared" si="43"/>
        <v>#VALUE!</v>
      </c>
      <c r="Q113" s="78" t="e">
        <f t="shared" si="43"/>
        <v>#VALUE!</v>
      </c>
    </row>
    <row r="114" spans="1:17" x14ac:dyDescent="0.2">
      <c r="A114" s="71">
        <v>109</v>
      </c>
      <c r="B114" s="7">
        <f t="shared" si="29"/>
        <v>15.428571428571411</v>
      </c>
      <c r="C114" s="74" t="e">
        <f t="shared" si="41"/>
        <v>#VALUE!</v>
      </c>
      <c r="D114" s="74" t="e">
        <f t="shared" si="41"/>
        <v>#VALUE!</v>
      </c>
      <c r="E114" s="74" t="e">
        <f t="shared" si="41"/>
        <v>#VALUE!</v>
      </c>
      <c r="F114" s="74" t="e">
        <f t="shared" si="41"/>
        <v>#VALUE!</v>
      </c>
      <c r="G114" s="74" t="e">
        <f t="shared" si="41"/>
        <v>#VALUE!</v>
      </c>
      <c r="H114" s="75" t="e">
        <f t="shared" si="28"/>
        <v>#VALUE!</v>
      </c>
      <c r="I114" s="74" t="e">
        <f t="shared" si="42"/>
        <v>#VALUE!</v>
      </c>
      <c r="J114" s="74" t="e">
        <f t="shared" si="42"/>
        <v>#VALUE!</v>
      </c>
      <c r="K114" s="74" t="e">
        <f t="shared" si="42"/>
        <v>#VALUE!</v>
      </c>
      <c r="L114" s="74" t="e">
        <f t="shared" si="42"/>
        <v>#VALUE!</v>
      </c>
      <c r="M114" s="74" t="e">
        <f t="shared" si="42"/>
        <v>#VALUE!</v>
      </c>
      <c r="N114" s="72" t="e">
        <f>IF('Growing data-Input'!E125&gt;0,'Growing data-Input'!E125,#N/A)</f>
        <v>#N/A</v>
      </c>
      <c r="P114" s="78" t="e">
        <f t="shared" si="43"/>
        <v>#VALUE!</v>
      </c>
      <c r="Q114" s="78" t="e">
        <f t="shared" si="43"/>
        <v>#VALUE!</v>
      </c>
    </row>
    <row r="115" spans="1:17" x14ac:dyDescent="0.2">
      <c r="A115" s="71">
        <v>110</v>
      </c>
      <c r="B115" s="7">
        <f t="shared" si="29"/>
        <v>15.571428571428553</v>
      </c>
      <c r="C115" s="74" t="e">
        <f t="shared" si="41"/>
        <v>#VALUE!</v>
      </c>
      <c r="D115" s="74" t="e">
        <f t="shared" si="41"/>
        <v>#VALUE!</v>
      </c>
      <c r="E115" s="74" t="e">
        <f t="shared" si="41"/>
        <v>#VALUE!</v>
      </c>
      <c r="F115" s="74" t="e">
        <f t="shared" si="41"/>
        <v>#VALUE!</v>
      </c>
      <c r="G115" s="74" t="e">
        <f t="shared" si="41"/>
        <v>#VALUE!</v>
      </c>
      <c r="H115" s="75" t="e">
        <f t="shared" si="28"/>
        <v>#VALUE!</v>
      </c>
      <c r="I115" s="74" t="e">
        <f t="shared" si="42"/>
        <v>#VALUE!</v>
      </c>
      <c r="J115" s="74" t="e">
        <f t="shared" si="42"/>
        <v>#VALUE!</v>
      </c>
      <c r="K115" s="74" t="e">
        <f t="shared" si="42"/>
        <v>#VALUE!</v>
      </c>
      <c r="L115" s="74" t="e">
        <f t="shared" si="42"/>
        <v>#VALUE!</v>
      </c>
      <c r="M115" s="74" t="e">
        <f t="shared" si="42"/>
        <v>#VALUE!</v>
      </c>
      <c r="N115" s="72" t="e">
        <f>IF('Growing data-Input'!E126&gt;0,'Growing data-Input'!E126,#N/A)</f>
        <v>#N/A</v>
      </c>
      <c r="P115" s="78" t="e">
        <f t="shared" si="43"/>
        <v>#VALUE!</v>
      </c>
      <c r="Q115" s="78" t="e">
        <f t="shared" si="43"/>
        <v>#VALUE!</v>
      </c>
    </row>
    <row r="116" spans="1:17" x14ac:dyDescent="0.2">
      <c r="A116" s="71">
        <v>111</v>
      </c>
      <c r="B116" s="7">
        <f t="shared" si="29"/>
        <v>15.714285714285696</v>
      </c>
      <c r="C116" s="74" t="e">
        <f t="shared" ref="C116:G125" si="44">IF((D116*0.994)&lt;$P116,$P116,D116*0.994)</f>
        <v>#VALUE!</v>
      </c>
      <c r="D116" s="74" t="e">
        <f t="shared" si="44"/>
        <v>#VALUE!</v>
      </c>
      <c r="E116" s="74" t="e">
        <f t="shared" si="44"/>
        <v>#VALUE!</v>
      </c>
      <c r="F116" s="74" t="e">
        <f t="shared" si="44"/>
        <v>#VALUE!</v>
      </c>
      <c r="G116" s="74" t="e">
        <f t="shared" si="44"/>
        <v>#VALUE!</v>
      </c>
      <c r="H116" s="75" t="e">
        <f t="shared" si="28"/>
        <v>#VALUE!</v>
      </c>
      <c r="I116" s="74" t="e">
        <f t="shared" ref="I116:M125" si="45">IF((H116*1.006)&gt;$Q116,$Q116,H116*1.006)</f>
        <v>#VALUE!</v>
      </c>
      <c r="J116" s="74" t="e">
        <f t="shared" si="45"/>
        <v>#VALUE!</v>
      </c>
      <c r="K116" s="74" t="e">
        <f t="shared" si="45"/>
        <v>#VALUE!</v>
      </c>
      <c r="L116" s="74" t="e">
        <f t="shared" si="45"/>
        <v>#VALUE!</v>
      </c>
      <c r="M116" s="74" t="e">
        <f t="shared" si="45"/>
        <v>#VALUE!</v>
      </c>
      <c r="N116" s="72" t="e">
        <f>IF('Growing data-Input'!E127&gt;0,'Growing data-Input'!E127,#N/A)</f>
        <v>#N/A</v>
      </c>
      <c r="P116" s="78" t="e">
        <f t="shared" si="43"/>
        <v>#VALUE!</v>
      </c>
      <c r="Q116" s="78" t="e">
        <f t="shared" si="43"/>
        <v>#VALUE!</v>
      </c>
    </row>
    <row r="117" spans="1:17" x14ac:dyDescent="0.2">
      <c r="A117" s="71">
        <v>112</v>
      </c>
      <c r="B117" s="7">
        <f t="shared" si="29"/>
        <v>15.857142857142838</v>
      </c>
      <c r="C117" s="74" t="e">
        <f t="shared" si="44"/>
        <v>#DIV/0!</v>
      </c>
      <c r="D117" s="74" t="e">
        <f t="shared" si="44"/>
        <v>#DIV/0!</v>
      </c>
      <c r="E117" s="74" t="e">
        <f t="shared" si="44"/>
        <v>#DIV/0!</v>
      </c>
      <c r="F117" s="74" t="e">
        <f t="shared" si="44"/>
        <v>#DIV/0!</v>
      </c>
      <c r="G117" s="74" t="e">
        <f t="shared" si="44"/>
        <v>#DIV/0!</v>
      </c>
      <c r="H117" s="75" t="e">
        <f t="shared" si="28"/>
        <v>#DIV/0!</v>
      </c>
      <c r="I117" s="74" t="e">
        <f t="shared" si="45"/>
        <v>#DIV/0!</v>
      </c>
      <c r="J117" s="74" t="e">
        <f t="shared" si="45"/>
        <v>#DIV/0!</v>
      </c>
      <c r="K117" s="74" t="e">
        <f t="shared" si="45"/>
        <v>#DIV/0!</v>
      </c>
      <c r="L117" s="74" t="e">
        <f t="shared" si="45"/>
        <v>#DIV/0!</v>
      </c>
      <c r="M117" s="74" t="e">
        <f t="shared" si="45"/>
        <v>#DIV/0!</v>
      </c>
      <c r="N117" s="72" t="e">
        <f>IF('Growing data-Input'!E128&gt;0,'Growing data-Input'!E128,#N/A)</f>
        <v>#N/A</v>
      </c>
      <c r="P117" s="78" t="str">
        <f>VLOOKUP($A117,$R$6:$T$24,2,FALSE)</f>
        <v/>
      </c>
      <c r="Q117" s="78" t="str">
        <f>VLOOKUP($A117,$R$6:$T$24,3,FALSE)</f>
        <v/>
      </c>
    </row>
    <row r="118" spans="1:17" x14ac:dyDescent="0.2">
      <c r="A118" s="71">
        <v>113</v>
      </c>
      <c r="B118" s="7">
        <f t="shared" si="29"/>
        <v>15.99999999999998</v>
      </c>
      <c r="C118" s="74" t="e">
        <f t="shared" si="44"/>
        <v>#VALUE!</v>
      </c>
      <c r="D118" s="74" t="e">
        <f t="shared" si="44"/>
        <v>#VALUE!</v>
      </c>
      <c r="E118" s="74" t="e">
        <f t="shared" si="44"/>
        <v>#VALUE!</v>
      </c>
      <c r="F118" s="74" t="e">
        <f t="shared" si="44"/>
        <v>#VALUE!</v>
      </c>
      <c r="G118" s="74" t="e">
        <f t="shared" si="44"/>
        <v>#VALUE!</v>
      </c>
      <c r="H118" s="75" t="e">
        <f t="shared" si="28"/>
        <v>#VALUE!</v>
      </c>
      <c r="I118" s="74" t="e">
        <f t="shared" si="45"/>
        <v>#VALUE!</v>
      </c>
      <c r="J118" s="74" t="e">
        <f t="shared" si="45"/>
        <v>#VALUE!</v>
      </c>
      <c r="K118" s="74" t="e">
        <f t="shared" si="45"/>
        <v>#VALUE!</v>
      </c>
      <c r="L118" s="74" t="e">
        <f t="shared" si="45"/>
        <v>#VALUE!</v>
      </c>
      <c r="M118" s="74" t="e">
        <f t="shared" si="45"/>
        <v>#VALUE!</v>
      </c>
      <c r="N118" s="72" t="e">
        <f>IF('Growing data-Input'!E129&gt;0,'Growing data-Input'!E129,#N/A)</f>
        <v>#N/A</v>
      </c>
      <c r="P118" s="78" t="e">
        <f t="shared" ref="P118:Q123" si="46">P117+$U$23/7</f>
        <v>#VALUE!</v>
      </c>
      <c r="Q118" s="78" t="e">
        <f t="shared" si="46"/>
        <v>#VALUE!</v>
      </c>
    </row>
    <row r="119" spans="1:17" x14ac:dyDescent="0.2">
      <c r="A119" s="71">
        <v>114</v>
      </c>
      <c r="B119" s="7">
        <f t="shared" si="29"/>
        <v>16.142857142857125</v>
      </c>
      <c r="C119" s="74" t="e">
        <f t="shared" si="44"/>
        <v>#VALUE!</v>
      </c>
      <c r="D119" s="74" t="e">
        <f t="shared" si="44"/>
        <v>#VALUE!</v>
      </c>
      <c r="E119" s="74" t="e">
        <f t="shared" si="44"/>
        <v>#VALUE!</v>
      </c>
      <c r="F119" s="74" t="e">
        <f t="shared" si="44"/>
        <v>#VALUE!</v>
      </c>
      <c r="G119" s="74" t="e">
        <f t="shared" si="44"/>
        <v>#VALUE!</v>
      </c>
      <c r="H119" s="75" t="e">
        <f t="shared" si="28"/>
        <v>#VALUE!</v>
      </c>
      <c r="I119" s="74" t="e">
        <f t="shared" si="45"/>
        <v>#VALUE!</v>
      </c>
      <c r="J119" s="74" t="e">
        <f t="shared" si="45"/>
        <v>#VALUE!</v>
      </c>
      <c r="K119" s="74" t="e">
        <f t="shared" si="45"/>
        <v>#VALUE!</v>
      </c>
      <c r="L119" s="74" t="e">
        <f t="shared" si="45"/>
        <v>#VALUE!</v>
      </c>
      <c r="M119" s="74" t="e">
        <f t="shared" si="45"/>
        <v>#VALUE!</v>
      </c>
      <c r="N119" s="72" t="e">
        <f>IF('Growing data-Input'!E130&gt;0,'Growing data-Input'!E130,#N/A)</f>
        <v>#N/A</v>
      </c>
      <c r="P119" s="78" t="e">
        <f t="shared" si="46"/>
        <v>#VALUE!</v>
      </c>
      <c r="Q119" s="78" t="e">
        <f t="shared" si="46"/>
        <v>#VALUE!</v>
      </c>
    </row>
    <row r="120" spans="1:17" x14ac:dyDescent="0.2">
      <c r="A120" s="71">
        <v>115</v>
      </c>
      <c r="B120" s="7">
        <f t="shared" si="29"/>
        <v>16.285714285714267</v>
      </c>
      <c r="C120" s="74" t="e">
        <f t="shared" si="44"/>
        <v>#VALUE!</v>
      </c>
      <c r="D120" s="74" t="e">
        <f t="shared" si="44"/>
        <v>#VALUE!</v>
      </c>
      <c r="E120" s="74" t="e">
        <f t="shared" si="44"/>
        <v>#VALUE!</v>
      </c>
      <c r="F120" s="74" t="e">
        <f t="shared" si="44"/>
        <v>#VALUE!</v>
      </c>
      <c r="G120" s="74" t="e">
        <f t="shared" si="44"/>
        <v>#VALUE!</v>
      </c>
      <c r="H120" s="75" t="e">
        <f t="shared" si="28"/>
        <v>#VALUE!</v>
      </c>
      <c r="I120" s="74" t="e">
        <f t="shared" si="45"/>
        <v>#VALUE!</v>
      </c>
      <c r="J120" s="74" t="e">
        <f t="shared" si="45"/>
        <v>#VALUE!</v>
      </c>
      <c r="K120" s="74" t="e">
        <f t="shared" si="45"/>
        <v>#VALUE!</v>
      </c>
      <c r="L120" s="74" t="e">
        <f t="shared" si="45"/>
        <v>#VALUE!</v>
      </c>
      <c r="M120" s="74" t="e">
        <f t="shared" si="45"/>
        <v>#VALUE!</v>
      </c>
      <c r="N120" s="72" t="e">
        <f>IF('Growing data-Input'!E131&gt;0,'Growing data-Input'!E131,#N/A)</f>
        <v>#N/A</v>
      </c>
      <c r="P120" s="78" t="e">
        <f t="shared" si="46"/>
        <v>#VALUE!</v>
      </c>
      <c r="Q120" s="78" t="e">
        <f t="shared" si="46"/>
        <v>#VALUE!</v>
      </c>
    </row>
    <row r="121" spans="1:17" x14ac:dyDescent="0.2">
      <c r="A121" s="71">
        <v>116</v>
      </c>
      <c r="B121" s="7">
        <f t="shared" si="29"/>
        <v>16.428571428571409</v>
      </c>
      <c r="C121" s="74" t="e">
        <f t="shared" si="44"/>
        <v>#VALUE!</v>
      </c>
      <c r="D121" s="74" t="e">
        <f t="shared" si="44"/>
        <v>#VALUE!</v>
      </c>
      <c r="E121" s="74" t="e">
        <f t="shared" si="44"/>
        <v>#VALUE!</v>
      </c>
      <c r="F121" s="74" t="e">
        <f t="shared" si="44"/>
        <v>#VALUE!</v>
      </c>
      <c r="G121" s="74" t="e">
        <f t="shared" si="44"/>
        <v>#VALUE!</v>
      </c>
      <c r="H121" s="75" t="e">
        <f t="shared" si="28"/>
        <v>#VALUE!</v>
      </c>
      <c r="I121" s="74" t="e">
        <f t="shared" si="45"/>
        <v>#VALUE!</v>
      </c>
      <c r="J121" s="74" t="e">
        <f t="shared" si="45"/>
        <v>#VALUE!</v>
      </c>
      <c r="K121" s="74" t="e">
        <f t="shared" si="45"/>
        <v>#VALUE!</v>
      </c>
      <c r="L121" s="74" t="e">
        <f t="shared" si="45"/>
        <v>#VALUE!</v>
      </c>
      <c r="M121" s="74" t="e">
        <f t="shared" si="45"/>
        <v>#VALUE!</v>
      </c>
      <c r="N121" s="72" t="e">
        <f>IF('Growing data-Input'!E132&gt;0,'Growing data-Input'!E132,#N/A)</f>
        <v>#N/A</v>
      </c>
      <c r="P121" s="78" t="e">
        <f t="shared" si="46"/>
        <v>#VALUE!</v>
      </c>
      <c r="Q121" s="78" t="e">
        <f t="shared" si="46"/>
        <v>#VALUE!</v>
      </c>
    </row>
    <row r="122" spans="1:17" x14ac:dyDescent="0.2">
      <c r="A122" s="71">
        <v>117</v>
      </c>
      <c r="B122" s="7">
        <f t="shared" si="29"/>
        <v>16.571428571428552</v>
      </c>
      <c r="C122" s="74" t="e">
        <f t="shared" si="44"/>
        <v>#VALUE!</v>
      </c>
      <c r="D122" s="74" t="e">
        <f t="shared" si="44"/>
        <v>#VALUE!</v>
      </c>
      <c r="E122" s="74" t="e">
        <f t="shared" si="44"/>
        <v>#VALUE!</v>
      </c>
      <c r="F122" s="74" t="e">
        <f t="shared" si="44"/>
        <v>#VALUE!</v>
      </c>
      <c r="G122" s="74" t="e">
        <f t="shared" si="44"/>
        <v>#VALUE!</v>
      </c>
      <c r="H122" s="75" t="e">
        <f t="shared" si="28"/>
        <v>#VALUE!</v>
      </c>
      <c r="I122" s="74" t="e">
        <f t="shared" si="45"/>
        <v>#VALUE!</v>
      </c>
      <c r="J122" s="74" t="e">
        <f t="shared" si="45"/>
        <v>#VALUE!</v>
      </c>
      <c r="K122" s="74" t="e">
        <f t="shared" si="45"/>
        <v>#VALUE!</v>
      </c>
      <c r="L122" s="74" t="e">
        <f t="shared" si="45"/>
        <v>#VALUE!</v>
      </c>
      <c r="M122" s="74" t="e">
        <f t="shared" si="45"/>
        <v>#VALUE!</v>
      </c>
      <c r="N122" s="72" t="e">
        <f>IF('Growing data-Input'!E133&gt;0,'Growing data-Input'!E133,#N/A)</f>
        <v>#N/A</v>
      </c>
      <c r="P122" s="78" t="e">
        <f t="shared" si="46"/>
        <v>#VALUE!</v>
      </c>
      <c r="Q122" s="78" t="e">
        <f t="shared" si="46"/>
        <v>#VALUE!</v>
      </c>
    </row>
    <row r="123" spans="1:17" x14ac:dyDescent="0.2">
      <c r="A123" s="71">
        <v>118</v>
      </c>
      <c r="B123" s="7">
        <f t="shared" si="29"/>
        <v>16.714285714285694</v>
      </c>
      <c r="C123" s="74" t="e">
        <f t="shared" si="44"/>
        <v>#VALUE!</v>
      </c>
      <c r="D123" s="74" t="e">
        <f t="shared" si="44"/>
        <v>#VALUE!</v>
      </c>
      <c r="E123" s="74" t="e">
        <f t="shared" si="44"/>
        <v>#VALUE!</v>
      </c>
      <c r="F123" s="74" t="e">
        <f t="shared" si="44"/>
        <v>#VALUE!</v>
      </c>
      <c r="G123" s="74" t="e">
        <f t="shared" si="44"/>
        <v>#VALUE!</v>
      </c>
      <c r="H123" s="75" t="e">
        <f t="shared" si="28"/>
        <v>#VALUE!</v>
      </c>
      <c r="I123" s="74" t="e">
        <f t="shared" si="45"/>
        <v>#VALUE!</v>
      </c>
      <c r="J123" s="74" t="e">
        <f t="shared" si="45"/>
        <v>#VALUE!</v>
      </c>
      <c r="K123" s="74" t="e">
        <f t="shared" si="45"/>
        <v>#VALUE!</v>
      </c>
      <c r="L123" s="74" t="e">
        <f t="shared" si="45"/>
        <v>#VALUE!</v>
      </c>
      <c r="M123" s="74" t="e">
        <f t="shared" si="45"/>
        <v>#VALUE!</v>
      </c>
      <c r="N123" s="72" t="e">
        <f>IF('Growing data-Input'!E134&gt;0,'Growing data-Input'!E134,#N/A)</f>
        <v>#N/A</v>
      </c>
      <c r="P123" s="78" t="e">
        <f t="shared" si="46"/>
        <v>#VALUE!</v>
      </c>
      <c r="Q123" s="78" t="e">
        <f t="shared" si="46"/>
        <v>#VALUE!</v>
      </c>
    </row>
    <row r="124" spans="1:17" x14ac:dyDescent="0.2">
      <c r="A124" s="71">
        <v>119</v>
      </c>
      <c r="B124" s="7">
        <f t="shared" si="29"/>
        <v>16.857142857142836</v>
      </c>
      <c r="C124" s="74" t="e">
        <f t="shared" si="44"/>
        <v>#DIV/0!</v>
      </c>
      <c r="D124" s="74" t="e">
        <f t="shared" si="44"/>
        <v>#DIV/0!</v>
      </c>
      <c r="E124" s="74" t="e">
        <f t="shared" si="44"/>
        <v>#DIV/0!</v>
      </c>
      <c r="F124" s="74" t="e">
        <f t="shared" si="44"/>
        <v>#DIV/0!</v>
      </c>
      <c r="G124" s="74" t="e">
        <f t="shared" si="44"/>
        <v>#DIV/0!</v>
      </c>
      <c r="H124" s="75" t="e">
        <f t="shared" si="28"/>
        <v>#DIV/0!</v>
      </c>
      <c r="I124" s="74" t="e">
        <f t="shared" si="45"/>
        <v>#DIV/0!</v>
      </c>
      <c r="J124" s="74" t="e">
        <f t="shared" si="45"/>
        <v>#DIV/0!</v>
      </c>
      <c r="K124" s="74" t="e">
        <f t="shared" si="45"/>
        <v>#DIV/0!</v>
      </c>
      <c r="L124" s="74" t="e">
        <f t="shared" si="45"/>
        <v>#DIV/0!</v>
      </c>
      <c r="M124" s="74" t="e">
        <f t="shared" si="45"/>
        <v>#DIV/0!</v>
      </c>
      <c r="N124" s="72" t="e">
        <f>IF('Growing data-Input'!E135&gt;0,'Growing data-Input'!E135,#N/A)</f>
        <v>#N/A</v>
      </c>
      <c r="P124" s="78" t="str">
        <f>VLOOKUP($A124,$R$6:$T$24,2,FALSE)</f>
        <v/>
      </c>
      <c r="Q124" s="78" t="str">
        <f>VLOOKUP($A124,$R$6:$T$24,3,FALSE)</f>
        <v/>
      </c>
    </row>
    <row r="125" spans="1:17" x14ac:dyDescent="0.2">
      <c r="A125" s="71">
        <v>120</v>
      </c>
      <c r="B125" s="7">
        <f t="shared" si="29"/>
        <v>16.999999999999979</v>
      </c>
      <c r="C125" s="74" t="e">
        <f t="shared" si="44"/>
        <v>#VALUE!</v>
      </c>
      <c r="D125" s="74" t="e">
        <f t="shared" si="44"/>
        <v>#VALUE!</v>
      </c>
      <c r="E125" s="74" t="e">
        <f t="shared" si="44"/>
        <v>#VALUE!</v>
      </c>
      <c r="F125" s="74" t="e">
        <f t="shared" si="44"/>
        <v>#VALUE!</v>
      </c>
      <c r="G125" s="74" t="e">
        <f t="shared" si="44"/>
        <v>#VALUE!</v>
      </c>
      <c r="H125" s="75" t="e">
        <f t="shared" si="28"/>
        <v>#VALUE!</v>
      </c>
      <c r="I125" s="74" t="e">
        <f t="shared" si="45"/>
        <v>#VALUE!</v>
      </c>
      <c r="J125" s="74" t="e">
        <f t="shared" si="45"/>
        <v>#VALUE!</v>
      </c>
      <c r="K125" s="74" t="e">
        <f t="shared" si="45"/>
        <v>#VALUE!</v>
      </c>
      <c r="L125" s="74" t="e">
        <f t="shared" si="45"/>
        <v>#VALUE!</v>
      </c>
      <c r="M125" s="74" t="e">
        <f t="shared" si="45"/>
        <v>#VALUE!</v>
      </c>
      <c r="N125" s="72" t="e">
        <f>IF('Growing data-Input'!E136&gt;0,'Growing data-Input'!E136,#N/A)</f>
        <v>#N/A</v>
      </c>
      <c r="P125" s="78" t="e">
        <f t="shared" ref="P125:Q130" si="47">P124+$U$24/7</f>
        <v>#VALUE!</v>
      </c>
      <c r="Q125" s="78" t="e">
        <f t="shared" si="47"/>
        <v>#VALUE!</v>
      </c>
    </row>
    <row r="126" spans="1:17" x14ac:dyDescent="0.2">
      <c r="A126" s="71">
        <v>121</v>
      </c>
      <c r="B126" s="7">
        <f t="shared" si="29"/>
        <v>17.142857142857121</v>
      </c>
      <c r="C126" s="74" t="e">
        <f t="shared" ref="C126:G131" si="48">IF((D126*0.994)&lt;$P126,$P126,D126*0.994)</f>
        <v>#VALUE!</v>
      </c>
      <c r="D126" s="74" t="e">
        <f t="shared" si="48"/>
        <v>#VALUE!</v>
      </c>
      <c r="E126" s="74" t="e">
        <f t="shared" si="48"/>
        <v>#VALUE!</v>
      </c>
      <c r="F126" s="74" t="e">
        <f t="shared" si="48"/>
        <v>#VALUE!</v>
      </c>
      <c r="G126" s="74" t="e">
        <f t="shared" si="48"/>
        <v>#VALUE!</v>
      </c>
      <c r="H126" s="75" t="e">
        <f t="shared" si="28"/>
        <v>#VALUE!</v>
      </c>
      <c r="I126" s="74" t="e">
        <f t="shared" ref="I126:M131" si="49">IF((H126*1.006)&gt;$Q126,$Q126,H126*1.006)</f>
        <v>#VALUE!</v>
      </c>
      <c r="J126" s="74" t="e">
        <f t="shared" si="49"/>
        <v>#VALUE!</v>
      </c>
      <c r="K126" s="74" t="e">
        <f t="shared" si="49"/>
        <v>#VALUE!</v>
      </c>
      <c r="L126" s="74" t="e">
        <f t="shared" si="49"/>
        <v>#VALUE!</v>
      </c>
      <c r="M126" s="74" t="e">
        <f t="shared" si="49"/>
        <v>#VALUE!</v>
      </c>
      <c r="N126" s="72" t="e">
        <f>IF('Growing data-Input'!E137&gt;0,'Growing data-Input'!E137,#N/A)</f>
        <v>#N/A</v>
      </c>
      <c r="P126" s="78" t="e">
        <f t="shared" si="47"/>
        <v>#VALUE!</v>
      </c>
      <c r="Q126" s="78" t="e">
        <f t="shared" si="47"/>
        <v>#VALUE!</v>
      </c>
    </row>
    <row r="127" spans="1:17" x14ac:dyDescent="0.2">
      <c r="A127" s="71">
        <v>122</v>
      </c>
      <c r="B127" s="7">
        <f t="shared" si="29"/>
        <v>17.285714285714263</v>
      </c>
      <c r="C127" s="74" t="e">
        <f t="shared" si="48"/>
        <v>#VALUE!</v>
      </c>
      <c r="D127" s="74" t="e">
        <f t="shared" si="48"/>
        <v>#VALUE!</v>
      </c>
      <c r="E127" s="74" t="e">
        <f t="shared" si="48"/>
        <v>#VALUE!</v>
      </c>
      <c r="F127" s="74" t="e">
        <f t="shared" si="48"/>
        <v>#VALUE!</v>
      </c>
      <c r="G127" s="74" t="e">
        <f t="shared" si="48"/>
        <v>#VALUE!</v>
      </c>
      <c r="H127" s="75" t="e">
        <f t="shared" si="28"/>
        <v>#VALUE!</v>
      </c>
      <c r="I127" s="74" t="e">
        <f t="shared" si="49"/>
        <v>#VALUE!</v>
      </c>
      <c r="J127" s="74" t="e">
        <f t="shared" si="49"/>
        <v>#VALUE!</v>
      </c>
      <c r="K127" s="74" t="e">
        <f t="shared" si="49"/>
        <v>#VALUE!</v>
      </c>
      <c r="L127" s="74" t="e">
        <f t="shared" si="49"/>
        <v>#VALUE!</v>
      </c>
      <c r="M127" s="74" t="e">
        <f t="shared" si="49"/>
        <v>#VALUE!</v>
      </c>
      <c r="N127" s="72" t="e">
        <f>IF('Growing data-Input'!E138&gt;0,'Growing data-Input'!E138,#N/A)</f>
        <v>#N/A</v>
      </c>
      <c r="P127" s="78" t="e">
        <f t="shared" si="47"/>
        <v>#VALUE!</v>
      </c>
      <c r="Q127" s="78" t="e">
        <f t="shared" si="47"/>
        <v>#VALUE!</v>
      </c>
    </row>
    <row r="128" spans="1:17" x14ac:dyDescent="0.2">
      <c r="A128" s="71">
        <v>123</v>
      </c>
      <c r="B128" s="7">
        <f t="shared" si="29"/>
        <v>17.428571428571406</v>
      </c>
      <c r="C128" s="74" t="e">
        <f t="shared" si="48"/>
        <v>#VALUE!</v>
      </c>
      <c r="D128" s="74" t="e">
        <f t="shared" si="48"/>
        <v>#VALUE!</v>
      </c>
      <c r="E128" s="74" t="e">
        <f t="shared" si="48"/>
        <v>#VALUE!</v>
      </c>
      <c r="F128" s="74" t="e">
        <f t="shared" si="48"/>
        <v>#VALUE!</v>
      </c>
      <c r="G128" s="74" t="e">
        <f t="shared" si="48"/>
        <v>#VALUE!</v>
      </c>
      <c r="H128" s="75" t="e">
        <f t="shared" si="28"/>
        <v>#VALUE!</v>
      </c>
      <c r="I128" s="74" t="e">
        <f t="shared" si="49"/>
        <v>#VALUE!</v>
      </c>
      <c r="J128" s="74" t="e">
        <f t="shared" si="49"/>
        <v>#VALUE!</v>
      </c>
      <c r="K128" s="74" t="e">
        <f t="shared" si="49"/>
        <v>#VALUE!</v>
      </c>
      <c r="L128" s="74" t="e">
        <f t="shared" si="49"/>
        <v>#VALUE!</v>
      </c>
      <c r="M128" s="74" t="e">
        <f t="shared" si="49"/>
        <v>#VALUE!</v>
      </c>
      <c r="N128" s="72" t="e">
        <f>IF('Growing data-Input'!E139&gt;0,'Growing data-Input'!E139,#N/A)</f>
        <v>#N/A</v>
      </c>
      <c r="P128" s="78" t="e">
        <f t="shared" si="47"/>
        <v>#VALUE!</v>
      </c>
      <c r="Q128" s="78" t="e">
        <f t="shared" si="47"/>
        <v>#VALUE!</v>
      </c>
    </row>
    <row r="129" spans="1:17" x14ac:dyDescent="0.2">
      <c r="A129" s="71">
        <v>124</v>
      </c>
      <c r="B129" s="7">
        <f t="shared" si="29"/>
        <v>17.571428571428548</v>
      </c>
      <c r="C129" s="74" t="e">
        <f t="shared" si="48"/>
        <v>#VALUE!</v>
      </c>
      <c r="D129" s="74" t="e">
        <f t="shared" si="48"/>
        <v>#VALUE!</v>
      </c>
      <c r="E129" s="74" t="e">
        <f t="shared" si="48"/>
        <v>#VALUE!</v>
      </c>
      <c r="F129" s="74" t="e">
        <f t="shared" si="48"/>
        <v>#VALUE!</v>
      </c>
      <c r="G129" s="74" t="e">
        <f t="shared" si="48"/>
        <v>#VALUE!</v>
      </c>
      <c r="H129" s="75" t="e">
        <f t="shared" si="28"/>
        <v>#VALUE!</v>
      </c>
      <c r="I129" s="74" t="e">
        <f t="shared" si="49"/>
        <v>#VALUE!</v>
      </c>
      <c r="J129" s="74" t="e">
        <f t="shared" si="49"/>
        <v>#VALUE!</v>
      </c>
      <c r="K129" s="74" t="e">
        <f t="shared" si="49"/>
        <v>#VALUE!</v>
      </c>
      <c r="L129" s="74" t="e">
        <f t="shared" si="49"/>
        <v>#VALUE!</v>
      </c>
      <c r="M129" s="74" t="e">
        <f t="shared" si="49"/>
        <v>#VALUE!</v>
      </c>
      <c r="N129" s="72" t="e">
        <f>IF('Growing data-Input'!E140&gt;0,'Growing data-Input'!E140,#N/A)</f>
        <v>#N/A</v>
      </c>
      <c r="P129" s="78" t="e">
        <f t="shared" si="47"/>
        <v>#VALUE!</v>
      </c>
      <c r="Q129" s="78" t="e">
        <f t="shared" si="47"/>
        <v>#VALUE!</v>
      </c>
    </row>
    <row r="130" spans="1:17" x14ac:dyDescent="0.2">
      <c r="A130" s="71">
        <v>125</v>
      </c>
      <c r="B130" s="7">
        <f t="shared" si="29"/>
        <v>17.71428571428569</v>
      </c>
      <c r="C130" s="74" t="e">
        <f t="shared" si="48"/>
        <v>#VALUE!</v>
      </c>
      <c r="D130" s="74" t="e">
        <f t="shared" si="48"/>
        <v>#VALUE!</v>
      </c>
      <c r="E130" s="74" t="e">
        <f t="shared" si="48"/>
        <v>#VALUE!</v>
      </c>
      <c r="F130" s="74" t="e">
        <f t="shared" si="48"/>
        <v>#VALUE!</v>
      </c>
      <c r="G130" s="74" t="e">
        <f t="shared" si="48"/>
        <v>#VALUE!</v>
      </c>
      <c r="H130" s="75" t="e">
        <f t="shared" si="28"/>
        <v>#VALUE!</v>
      </c>
      <c r="I130" s="74" t="e">
        <f t="shared" si="49"/>
        <v>#VALUE!</v>
      </c>
      <c r="J130" s="74" t="e">
        <f t="shared" si="49"/>
        <v>#VALUE!</v>
      </c>
      <c r="K130" s="74" t="e">
        <f t="shared" si="49"/>
        <v>#VALUE!</v>
      </c>
      <c r="L130" s="74" t="e">
        <f t="shared" si="49"/>
        <v>#VALUE!</v>
      </c>
      <c r="M130" s="74" t="e">
        <f t="shared" si="49"/>
        <v>#VALUE!</v>
      </c>
      <c r="N130" s="72" t="e">
        <f>IF('Growing data-Input'!E141&gt;0,'Growing data-Input'!E141,#N/A)</f>
        <v>#N/A</v>
      </c>
      <c r="P130" s="78" t="e">
        <f t="shared" si="47"/>
        <v>#VALUE!</v>
      </c>
      <c r="Q130" s="78" t="e">
        <f t="shared" si="47"/>
        <v>#VALUE!</v>
      </c>
    </row>
    <row r="131" spans="1:17" x14ac:dyDescent="0.2">
      <c r="A131" s="71">
        <v>126</v>
      </c>
      <c r="B131" s="7">
        <f t="shared" si="29"/>
        <v>17.857142857142833</v>
      </c>
      <c r="C131" s="74" t="e">
        <f t="shared" si="48"/>
        <v>#DIV/0!</v>
      </c>
      <c r="D131" s="74" t="e">
        <f t="shared" si="48"/>
        <v>#DIV/0!</v>
      </c>
      <c r="E131" s="74" t="e">
        <f t="shared" si="48"/>
        <v>#DIV/0!</v>
      </c>
      <c r="F131" s="74" t="e">
        <f t="shared" si="48"/>
        <v>#DIV/0!</v>
      </c>
      <c r="G131" s="74" t="e">
        <f t="shared" si="48"/>
        <v>#DIV/0!</v>
      </c>
      <c r="H131" s="75" t="e">
        <f t="shared" si="28"/>
        <v>#DIV/0!</v>
      </c>
      <c r="I131" s="74" t="e">
        <f t="shared" si="49"/>
        <v>#DIV/0!</v>
      </c>
      <c r="J131" s="74" t="e">
        <f t="shared" si="49"/>
        <v>#DIV/0!</v>
      </c>
      <c r="K131" s="74" t="e">
        <f t="shared" si="49"/>
        <v>#DIV/0!</v>
      </c>
      <c r="L131" s="74" t="e">
        <f t="shared" si="49"/>
        <v>#DIV/0!</v>
      </c>
      <c r="M131" s="74" t="e">
        <f t="shared" si="49"/>
        <v>#DIV/0!</v>
      </c>
      <c r="N131" s="72" t="e">
        <f>IF('Growing data-Input'!E142&gt;0,'Growing data-Input'!E142,#N/A)</f>
        <v>#N/A</v>
      </c>
      <c r="P131" s="78" t="str">
        <f>VLOOKUP($A131,$R$6:$T$24,2,FALSE)</f>
        <v/>
      </c>
      <c r="Q131" s="78" t="str">
        <f>VLOOKUP($A131,$R$6:$T$24,3,FALSE)</f>
        <v/>
      </c>
    </row>
    <row r="132" spans="1:17" x14ac:dyDescent="0.2">
      <c r="A132" s="70"/>
      <c r="B132" s="70"/>
    </row>
    <row r="133" spans="1:17" x14ac:dyDescent="0.2">
      <c r="A133" s="70"/>
      <c r="B133" s="70"/>
    </row>
    <row r="134" spans="1:17" x14ac:dyDescent="0.2">
      <c r="A134" s="70"/>
      <c r="B134" s="70"/>
    </row>
    <row r="135" spans="1:17" x14ac:dyDescent="0.2">
      <c r="A135" s="70"/>
      <c r="B135" s="70"/>
    </row>
    <row r="136" spans="1:17" x14ac:dyDescent="0.2">
      <c r="A136" s="70"/>
      <c r="B136" s="70"/>
    </row>
    <row r="137" spans="1:17" x14ac:dyDescent="0.2">
      <c r="A137" s="70"/>
      <c r="B137" s="70"/>
    </row>
    <row r="138" spans="1:17" x14ac:dyDescent="0.2">
      <c r="A138" s="70"/>
      <c r="B138" s="70"/>
    </row>
    <row r="139" spans="1:17" x14ac:dyDescent="0.2">
      <c r="A139" s="70"/>
      <c r="B139" s="70"/>
    </row>
    <row r="140" spans="1:17" x14ac:dyDescent="0.2">
      <c r="A140" s="70"/>
      <c r="B140" s="70"/>
    </row>
    <row r="141" spans="1:17" x14ac:dyDescent="0.2">
      <c r="A141" s="70"/>
      <c r="B141" s="70"/>
    </row>
    <row r="142" spans="1:17" x14ac:dyDescent="0.2">
      <c r="A142" s="70"/>
      <c r="B142" s="70"/>
    </row>
    <row r="143" spans="1:17" x14ac:dyDescent="0.2">
      <c r="A143" s="70"/>
      <c r="B143" s="70"/>
    </row>
    <row r="144" spans="1:17" x14ac:dyDescent="0.2">
      <c r="A144" s="70"/>
      <c r="B144" s="70"/>
    </row>
    <row r="145" spans="1:2" x14ac:dyDescent="0.2">
      <c r="A145" s="70"/>
      <c r="B145" s="70"/>
    </row>
    <row r="146" spans="1:2" x14ac:dyDescent="0.2">
      <c r="A146" s="70"/>
      <c r="B146" s="70"/>
    </row>
    <row r="147" spans="1:2" x14ac:dyDescent="0.2">
      <c r="A147" s="70"/>
      <c r="B147" s="70"/>
    </row>
    <row r="148" spans="1:2" x14ac:dyDescent="0.2">
      <c r="A148" s="70"/>
      <c r="B148" s="70"/>
    </row>
    <row r="149" spans="1:2" x14ac:dyDescent="0.2">
      <c r="A149" s="70"/>
      <c r="B149" s="70"/>
    </row>
    <row r="150" spans="1:2" x14ac:dyDescent="0.2">
      <c r="A150" s="70"/>
      <c r="B150" s="70"/>
    </row>
    <row r="151" spans="1:2" x14ac:dyDescent="0.2">
      <c r="A151" s="70"/>
      <c r="B151" s="70"/>
    </row>
    <row r="152" spans="1:2" x14ac:dyDescent="0.2">
      <c r="A152" s="70"/>
      <c r="B152" s="70"/>
    </row>
    <row r="153" spans="1:2" x14ac:dyDescent="0.2">
      <c r="A153" s="70"/>
      <c r="B153" s="70"/>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3:AU80"/>
  <sheetViews>
    <sheetView workbookViewId="0">
      <pane xSplit="2" ySplit="5" topLeftCell="AD6" activePane="bottomRight" state="frozen"/>
      <selection activeCell="H13" sqref="H13"/>
      <selection pane="topRight" activeCell="H13" sqref="H13"/>
      <selection pane="bottomLeft" activeCell="H13" sqref="H13"/>
      <selection pane="bottomRight" activeCell="H13" sqref="H13"/>
    </sheetView>
  </sheetViews>
  <sheetFormatPr baseColWidth="10" defaultRowHeight="12.75" x14ac:dyDescent="0.2"/>
  <cols>
    <col min="1" max="45" width="11.42578125" style="1"/>
    <col min="46" max="46" width="12.28515625" style="1" bestFit="1" customWidth="1"/>
    <col min="47" max="47" width="16.7109375" style="1" bestFit="1" customWidth="1"/>
    <col min="48" max="16384" width="11.42578125" style="1"/>
  </cols>
  <sheetData>
    <row r="3" spans="2:47" s="95" customFormat="1" ht="15.75" x14ac:dyDescent="0.25">
      <c r="E3" s="95">
        <v>0.99550000000000005</v>
      </c>
      <c r="U3" s="95">
        <v>0.997</v>
      </c>
      <c r="V3" s="95">
        <v>1.0029999999999999</v>
      </c>
      <c r="AK3" s="95">
        <v>600</v>
      </c>
      <c r="AL3" s="95">
        <v>30</v>
      </c>
      <c r="AM3" s="2" t="e">
        <f>AM15-1500</f>
        <v>#VALUE!</v>
      </c>
      <c r="AN3" s="3" t="e">
        <f>AM3/AM15</f>
        <v>#VALUE!</v>
      </c>
    </row>
    <row r="4" spans="2:47" s="95" customFormat="1" ht="15.75" x14ac:dyDescent="0.25">
      <c r="C4" s="535" t="s">
        <v>249</v>
      </c>
      <c r="D4" s="535"/>
      <c r="E4" s="536" t="s">
        <v>248</v>
      </c>
      <c r="F4" s="536"/>
      <c r="G4" s="536"/>
      <c r="H4" s="536"/>
      <c r="I4" s="536"/>
      <c r="J4" s="536"/>
      <c r="K4" s="536"/>
      <c r="L4" s="536"/>
      <c r="M4" s="536"/>
      <c r="N4" s="536"/>
      <c r="O4" s="536"/>
      <c r="P4" s="536"/>
      <c r="Q4" s="536"/>
      <c r="R4" s="536"/>
      <c r="S4" s="536"/>
      <c r="T4" s="536"/>
      <c r="U4" s="537" t="s">
        <v>251</v>
      </c>
      <c r="V4" s="537"/>
      <c r="W4" s="537"/>
      <c r="X4" s="537"/>
      <c r="Y4" s="537"/>
      <c r="Z4" s="537"/>
      <c r="AA4" s="537"/>
      <c r="AB4" s="537"/>
      <c r="AC4" s="537"/>
      <c r="AD4" s="537"/>
      <c r="AE4" s="537"/>
      <c r="AF4" s="537"/>
      <c r="AG4" s="537"/>
      <c r="AH4" s="537"/>
      <c r="AI4" s="537"/>
      <c r="AJ4" s="537"/>
      <c r="AK4" s="538" t="s">
        <v>252</v>
      </c>
      <c r="AL4" s="538"/>
      <c r="AM4" s="538"/>
      <c r="AN4" s="538"/>
      <c r="AO4" s="539" t="s">
        <v>253</v>
      </c>
      <c r="AP4" s="539"/>
      <c r="AQ4" s="539"/>
      <c r="AR4" s="534" t="s">
        <v>266</v>
      </c>
      <c r="AS4" s="534"/>
      <c r="AT4" s="96"/>
      <c r="AU4" s="96"/>
    </row>
    <row r="5" spans="2:47" s="88" customFormat="1" ht="15.75" x14ac:dyDescent="0.2">
      <c r="C5" s="89" t="s">
        <v>12</v>
      </c>
      <c r="D5" s="89" t="s">
        <v>250</v>
      </c>
      <c r="E5" s="90" t="s">
        <v>12</v>
      </c>
      <c r="F5" s="90">
        <v>1</v>
      </c>
      <c r="G5" s="90">
        <v>2</v>
      </c>
      <c r="H5" s="90">
        <v>3</v>
      </c>
      <c r="I5" s="90">
        <v>4</v>
      </c>
      <c r="J5" s="90">
        <v>5</v>
      </c>
      <c r="K5" s="90">
        <v>6</v>
      </c>
      <c r="L5" s="90">
        <v>7</v>
      </c>
      <c r="M5" s="90">
        <v>8</v>
      </c>
      <c r="N5" s="90">
        <v>9</v>
      </c>
      <c r="O5" s="90">
        <v>10</v>
      </c>
      <c r="P5" s="90">
        <v>11</v>
      </c>
      <c r="Q5" s="90">
        <v>12</v>
      </c>
      <c r="R5" s="90">
        <v>13</v>
      </c>
      <c r="S5" s="90">
        <v>14</v>
      </c>
      <c r="T5" s="90" t="s">
        <v>250</v>
      </c>
      <c r="U5" s="91">
        <v>1</v>
      </c>
      <c r="V5" s="91">
        <v>2</v>
      </c>
      <c r="W5" s="91">
        <v>3</v>
      </c>
      <c r="X5" s="91">
        <v>4</v>
      </c>
      <c r="Y5" s="91">
        <v>5</v>
      </c>
      <c r="Z5" s="91">
        <v>6</v>
      </c>
      <c r="AA5" s="91">
        <v>7</v>
      </c>
      <c r="AB5" s="91" t="s">
        <v>12</v>
      </c>
      <c r="AC5" s="91">
        <v>8</v>
      </c>
      <c r="AD5" s="91">
        <v>9</v>
      </c>
      <c r="AE5" s="91">
        <v>10</v>
      </c>
      <c r="AF5" s="91">
        <v>11</v>
      </c>
      <c r="AG5" s="91">
        <v>12</v>
      </c>
      <c r="AH5" s="91">
        <v>13</v>
      </c>
      <c r="AI5" s="91">
        <v>14</v>
      </c>
      <c r="AJ5" s="91" t="s">
        <v>250</v>
      </c>
      <c r="AK5" s="94" t="s">
        <v>12</v>
      </c>
      <c r="AL5" s="94" t="s">
        <v>250</v>
      </c>
      <c r="AM5" s="94" t="s">
        <v>12</v>
      </c>
      <c r="AN5" s="94" t="s">
        <v>250</v>
      </c>
      <c r="AO5" s="92" t="s">
        <v>18</v>
      </c>
      <c r="AP5" s="92" t="s">
        <v>87</v>
      </c>
      <c r="AQ5" s="92" t="s">
        <v>32</v>
      </c>
      <c r="AR5" s="112" t="s">
        <v>12</v>
      </c>
      <c r="AS5" s="112" t="s">
        <v>250</v>
      </c>
      <c r="AT5" s="88" t="s">
        <v>254</v>
      </c>
      <c r="AU5" s="88" t="s">
        <v>255</v>
      </c>
    </row>
    <row r="6" spans="2:47" x14ac:dyDescent="0.2">
      <c r="B6" s="1">
        <v>18</v>
      </c>
      <c r="C6" s="93" t="e">
        <f>100-Standard!E8</f>
        <v>#VALUE!</v>
      </c>
      <c r="D6" s="85" t="e">
        <f>IF('Production Data-Table'!E16="",#N/A,'Production Data-Table'!E16*100)</f>
        <v>#N/A</v>
      </c>
      <c r="E6" s="82" t="str">
        <f>Standard!D8</f>
        <v/>
      </c>
      <c r="F6" s="82" t="e">
        <f t="shared" ref="F6:S6" si="0">E6*$E$3</f>
        <v>#VALUE!</v>
      </c>
      <c r="G6" s="82" t="e">
        <f t="shared" si="0"/>
        <v>#VALUE!</v>
      </c>
      <c r="H6" s="82" t="e">
        <f t="shared" si="0"/>
        <v>#VALUE!</v>
      </c>
      <c r="I6" s="82" t="e">
        <f t="shared" si="0"/>
        <v>#VALUE!</v>
      </c>
      <c r="J6" s="82" t="e">
        <f t="shared" si="0"/>
        <v>#VALUE!</v>
      </c>
      <c r="K6" s="82" t="e">
        <f t="shared" si="0"/>
        <v>#VALUE!</v>
      </c>
      <c r="L6" s="82" t="e">
        <f t="shared" si="0"/>
        <v>#VALUE!</v>
      </c>
      <c r="M6" s="82" t="e">
        <f t="shared" si="0"/>
        <v>#VALUE!</v>
      </c>
      <c r="N6" s="82" t="e">
        <f t="shared" si="0"/>
        <v>#VALUE!</v>
      </c>
      <c r="O6" s="82" t="e">
        <f t="shared" si="0"/>
        <v>#VALUE!</v>
      </c>
      <c r="P6" s="82" t="e">
        <f t="shared" si="0"/>
        <v>#VALUE!</v>
      </c>
      <c r="Q6" s="82" t="e">
        <f t="shared" si="0"/>
        <v>#VALUE!</v>
      </c>
      <c r="R6" s="82" t="e">
        <f t="shared" si="0"/>
        <v>#VALUE!</v>
      </c>
      <c r="S6" s="82" t="e">
        <f t="shared" si="0"/>
        <v>#VALUE!</v>
      </c>
      <c r="T6" s="83" t="e">
        <f>IF('Production Data-Table'!H16="",#N/A,'Production Data-Table'!H16)</f>
        <v>#N/A</v>
      </c>
      <c r="U6" s="84" t="str">
        <f>Standard!G8</f>
        <v/>
      </c>
      <c r="V6" s="84" t="e">
        <f t="shared" ref="V6:AA15" si="1">W6*$V$3</f>
        <v>#VALUE!</v>
      </c>
      <c r="W6" s="84" t="e">
        <f t="shared" si="1"/>
        <v>#VALUE!</v>
      </c>
      <c r="X6" s="84" t="e">
        <f t="shared" si="1"/>
        <v>#VALUE!</v>
      </c>
      <c r="Y6" s="84" t="e">
        <f t="shared" si="1"/>
        <v>#VALUE!</v>
      </c>
      <c r="Z6" s="84" t="e">
        <f t="shared" si="1"/>
        <v>#VALUE!</v>
      </c>
      <c r="AA6" s="84" t="e">
        <f t="shared" si="1"/>
        <v>#VALUE!</v>
      </c>
      <c r="AB6" s="84" t="str">
        <f>Standard!G8</f>
        <v/>
      </c>
      <c r="AC6" s="84" t="e">
        <f t="shared" ref="AC6:AI15" si="2">AB6*$U$3</f>
        <v>#VALUE!</v>
      </c>
      <c r="AD6" s="84" t="e">
        <f t="shared" si="2"/>
        <v>#VALUE!</v>
      </c>
      <c r="AE6" s="84" t="e">
        <f t="shared" si="2"/>
        <v>#VALUE!</v>
      </c>
      <c r="AF6" s="84" t="e">
        <f t="shared" si="2"/>
        <v>#VALUE!</v>
      </c>
      <c r="AG6" s="84" t="e">
        <f t="shared" si="2"/>
        <v>#VALUE!</v>
      </c>
      <c r="AH6" s="84" t="e">
        <f t="shared" si="2"/>
        <v>#VALUE!</v>
      </c>
      <c r="AI6" s="84" t="e">
        <f t="shared" si="2"/>
        <v>#VALUE!</v>
      </c>
      <c r="AJ6" s="84" t="e">
        <f>IF('Production Data-Table'!M16="",#N/A,'Production Data-Table'!M16)</f>
        <v>#N/A</v>
      </c>
      <c r="AK6" s="86" t="e">
        <f>(AM6-1300)/$AK$3*$AL$3</f>
        <v>#VALUE!</v>
      </c>
      <c r="AL6" s="86" t="e">
        <f>(AN6-1300)/$AK$3*$AL$3</f>
        <v>#N/A</v>
      </c>
      <c r="AM6" s="86" t="str">
        <f>Standard!B8</f>
        <v/>
      </c>
      <c r="AN6" s="87" t="e">
        <f>IF('Production Data-Table'!AH16&lt;&gt;"",'Production Data-Table'!AH16,#N/A)</f>
        <v>#N/A</v>
      </c>
      <c r="AO6" s="97" t="e">
        <f>IF('Production Data-Table'!AC17="",#N/A,'Production Data-Table'!AC15*100)</f>
        <v>#N/A</v>
      </c>
      <c r="AP6" s="97" t="e">
        <f>IF('Production Data-Table'!AE17&lt;&gt;"",'Production Data-Table'!AE15*100,#N/A)</f>
        <v>#N/A</v>
      </c>
      <c r="AQ6" s="97" t="e">
        <f>IF('Production Data-Table'!AG17&lt;&gt;"",'Production Data-Table'!AG15*100,#N/A)</f>
        <v>#N/A</v>
      </c>
      <c r="AR6" s="113" t="e">
        <f>Standard!H8/7</f>
        <v>#VALUE!</v>
      </c>
      <c r="AS6" s="113" t="e">
        <f>IF('Production Data-Table'!O15="",#N/A,'Production Data-Table'!O15/7)</f>
        <v>#N/A</v>
      </c>
      <c r="AT6" s="1" t="e">
        <f>IF('Production Data-Table'!G15&lt;&gt;"",'Production Data-Table'!S15,#N/A)</f>
        <v>#N/A</v>
      </c>
      <c r="AU6" s="1" t="str">
        <f>IF('Production Data-Table'!Z15&lt;&gt;0,'Production Data-Table'!Z15,#N/A)</f>
        <v/>
      </c>
    </row>
    <row r="7" spans="2:47" x14ac:dyDescent="0.2">
      <c r="B7" s="1">
        <v>19</v>
      </c>
      <c r="C7" s="93" t="e">
        <f>100-Standard!E9</f>
        <v>#VALUE!</v>
      </c>
      <c r="D7" s="85" t="e">
        <f>IF('Production Data-Table'!E17="",#N/A,'Production Data-Table'!E17*100)</f>
        <v>#N/A</v>
      </c>
      <c r="E7" s="82" t="str">
        <f>Standard!D9</f>
        <v/>
      </c>
      <c r="F7" s="82" t="e">
        <f>E7*$E$3</f>
        <v>#VALUE!</v>
      </c>
      <c r="G7" s="82" t="e">
        <f>F7-1</f>
        <v>#VALUE!</v>
      </c>
      <c r="H7" s="82" t="e">
        <f>G7-1</f>
        <v>#VALUE!</v>
      </c>
      <c r="I7" s="82" t="e">
        <f>H7-1</f>
        <v>#VALUE!</v>
      </c>
      <c r="J7" s="82" t="e">
        <f>I7-1</f>
        <v>#VALUE!</v>
      </c>
      <c r="K7" s="82">
        <v>0</v>
      </c>
      <c r="L7" s="82">
        <v>0</v>
      </c>
      <c r="M7" s="82">
        <v>0</v>
      </c>
      <c r="N7" s="82">
        <v>0</v>
      </c>
      <c r="O7" s="82">
        <v>0</v>
      </c>
      <c r="P7" s="82">
        <v>0</v>
      </c>
      <c r="Q7" s="82">
        <v>0</v>
      </c>
      <c r="R7" s="82">
        <v>0</v>
      </c>
      <c r="S7" s="82">
        <v>0</v>
      </c>
      <c r="T7" s="83" t="e">
        <f>IF('Production Data-Table'!H17="",#N/A,'Production Data-Table'!H17)</f>
        <v>#N/A</v>
      </c>
      <c r="U7" s="84" t="e">
        <f t="shared" ref="U7:U38" si="3">V7*$V$3</f>
        <v>#VALUE!</v>
      </c>
      <c r="V7" s="84" t="e">
        <f t="shared" si="1"/>
        <v>#VALUE!</v>
      </c>
      <c r="W7" s="84" t="e">
        <f t="shared" si="1"/>
        <v>#VALUE!</v>
      </c>
      <c r="X7" s="84" t="e">
        <f t="shared" si="1"/>
        <v>#VALUE!</v>
      </c>
      <c r="Y7" s="84" t="e">
        <f t="shared" si="1"/>
        <v>#VALUE!</v>
      </c>
      <c r="Z7" s="84" t="e">
        <f t="shared" si="1"/>
        <v>#VALUE!</v>
      </c>
      <c r="AA7" s="84" t="e">
        <f t="shared" si="1"/>
        <v>#VALUE!</v>
      </c>
      <c r="AB7" s="84" t="str">
        <f>Standard!G9</f>
        <v/>
      </c>
      <c r="AC7" s="84" t="e">
        <f t="shared" si="2"/>
        <v>#VALUE!</v>
      </c>
      <c r="AD7" s="84" t="e">
        <f t="shared" si="2"/>
        <v>#VALUE!</v>
      </c>
      <c r="AE7" s="84" t="e">
        <f t="shared" si="2"/>
        <v>#VALUE!</v>
      </c>
      <c r="AF7" s="84" t="e">
        <f t="shared" si="2"/>
        <v>#VALUE!</v>
      </c>
      <c r="AG7" s="84" t="e">
        <f t="shared" si="2"/>
        <v>#VALUE!</v>
      </c>
      <c r="AH7" s="84" t="e">
        <f t="shared" si="2"/>
        <v>#VALUE!</v>
      </c>
      <c r="AI7" s="84" t="e">
        <f t="shared" si="2"/>
        <v>#VALUE!</v>
      </c>
      <c r="AJ7" s="84" t="e">
        <f>IF('Production Data-Table'!M17="",#N/A,'Production Data-Table'!M17)</f>
        <v>#N/A</v>
      </c>
      <c r="AK7" s="86" t="e">
        <f t="shared" ref="AK7:AK70" si="4">(AM7-1300)/$AK$3*$AL$3</f>
        <v>#VALUE!</v>
      </c>
      <c r="AL7" s="86" t="e">
        <f t="shared" ref="AL7:AL70" si="5">(AN7-1300)/$AK$3*$AL$3</f>
        <v>#N/A</v>
      </c>
      <c r="AM7" s="86" t="str">
        <f>Standard!B9</f>
        <v/>
      </c>
      <c r="AN7" s="87" t="e">
        <f>IF('Production Data-Table'!AH17&lt;&gt;"",'Production Data-Table'!AH17,#N/A)</f>
        <v>#N/A</v>
      </c>
      <c r="AO7" s="97" t="e">
        <f>IF('Production Data-Table'!AC18="",#N/A,'Production Data-Table'!AC16*100)</f>
        <v>#N/A</v>
      </c>
      <c r="AP7" s="97" t="e">
        <f>IF('Production Data-Table'!AE18&lt;&gt;"",'Production Data-Table'!AE16*100,#N/A)</f>
        <v>#N/A</v>
      </c>
      <c r="AQ7" s="97" t="e">
        <f>IF('Production Data-Table'!AG18&lt;&gt;"",'Production Data-Table'!AG16*100,#N/A)</f>
        <v>#N/A</v>
      </c>
      <c r="AR7" s="113" t="e">
        <f>Standard!H9/7</f>
        <v>#VALUE!</v>
      </c>
      <c r="AS7" s="113" t="e">
        <f>IF('Production Data-Table'!O16="",#N/A,'Production Data-Table'!O16/7)</f>
        <v>#N/A</v>
      </c>
      <c r="AT7" s="1" t="e">
        <f>IF('Production Data-Table'!G16&lt;&gt;"",'Production Data-Table'!S16,#N/A)</f>
        <v>#N/A</v>
      </c>
    </row>
    <row r="8" spans="2:47" x14ac:dyDescent="0.2">
      <c r="B8" s="1">
        <v>20</v>
      </c>
      <c r="C8" s="93" t="e">
        <f>100-Standard!E10</f>
        <v>#VALUE!</v>
      </c>
      <c r="D8" s="85" t="e">
        <f>IF('Production Data-Table'!E18="",#N/A,'Production Data-Table'!E18*100)</f>
        <v>#N/A</v>
      </c>
      <c r="E8" s="82" t="str">
        <f>Standard!D10</f>
        <v/>
      </c>
      <c r="F8" s="82" t="e">
        <f>E8-2</f>
        <v>#VALUE!</v>
      </c>
      <c r="G8" s="82" t="e">
        <f t="shared" ref="G8:S8" si="6">F8-2</f>
        <v>#VALUE!</v>
      </c>
      <c r="H8" s="82" t="e">
        <f t="shared" si="6"/>
        <v>#VALUE!</v>
      </c>
      <c r="I8" s="82" t="e">
        <f t="shared" si="6"/>
        <v>#VALUE!</v>
      </c>
      <c r="J8" s="82" t="e">
        <f t="shared" si="6"/>
        <v>#VALUE!</v>
      </c>
      <c r="K8" s="82" t="e">
        <f t="shared" si="6"/>
        <v>#VALUE!</v>
      </c>
      <c r="L8" s="82" t="e">
        <f t="shared" si="6"/>
        <v>#VALUE!</v>
      </c>
      <c r="M8" s="82" t="e">
        <f t="shared" si="6"/>
        <v>#VALUE!</v>
      </c>
      <c r="N8" s="82" t="e">
        <f t="shared" si="6"/>
        <v>#VALUE!</v>
      </c>
      <c r="O8" s="82" t="e">
        <f t="shared" si="6"/>
        <v>#VALUE!</v>
      </c>
      <c r="P8" s="82" t="e">
        <f t="shared" si="6"/>
        <v>#VALUE!</v>
      </c>
      <c r="Q8" s="82" t="e">
        <f t="shared" si="6"/>
        <v>#VALUE!</v>
      </c>
      <c r="R8" s="82" t="e">
        <f t="shared" si="6"/>
        <v>#VALUE!</v>
      </c>
      <c r="S8" s="82" t="e">
        <f t="shared" si="6"/>
        <v>#VALUE!</v>
      </c>
      <c r="T8" s="83" t="e">
        <f>IF('Production Data-Table'!H18="",#N/A,'Production Data-Table'!H18)</f>
        <v>#N/A</v>
      </c>
      <c r="U8" s="84" t="e">
        <f t="shared" si="3"/>
        <v>#VALUE!</v>
      </c>
      <c r="V8" s="84" t="e">
        <f t="shared" si="1"/>
        <v>#VALUE!</v>
      </c>
      <c r="W8" s="84" t="e">
        <f t="shared" si="1"/>
        <v>#VALUE!</v>
      </c>
      <c r="X8" s="84" t="e">
        <f t="shared" si="1"/>
        <v>#VALUE!</v>
      </c>
      <c r="Y8" s="84" t="e">
        <f t="shared" si="1"/>
        <v>#VALUE!</v>
      </c>
      <c r="Z8" s="84" t="e">
        <f t="shared" si="1"/>
        <v>#VALUE!</v>
      </c>
      <c r="AA8" s="84" t="e">
        <f t="shared" si="1"/>
        <v>#VALUE!</v>
      </c>
      <c r="AB8" s="84" t="str">
        <f>Standard!G10</f>
        <v/>
      </c>
      <c r="AC8" s="84" t="e">
        <f t="shared" si="2"/>
        <v>#VALUE!</v>
      </c>
      <c r="AD8" s="84" t="e">
        <f t="shared" si="2"/>
        <v>#VALUE!</v>
      </c>
      <c r="AE8" s="84" t="e">
        <f t="shared" si="2"/>
        <v>#VALUE!</v>
      </c>
      <c r="AF8" s="84" t="e">
        <f t="shared" si="2"/>
        <v>#VALUE!</v>
      </c>
      <c r="AG8" s="84" t="e">
        <f t="shared" si="2"/>
        <v>#VALUE!</v>
      </c>
      <c r="AH8" s="84" t="e">
        <f t="shared" si="2"/>
        <v>#VALUE!</v>
      </c>
      <c r="AI8" s="84" t="e">
        <f t="shared" si="2"/>
        <v>#VALUE!</v>
      </c>
      <c r="AJ8" s="84" t="e">
        <f>IF('Production Data-Table'!M18="",#N/A,'Production Data-Table'!M18)</f>
        <v>#N/A</v>
      </c>
      <c r="AK8" s="86" t="e">
        <f t="shared" si="4"/>
        <v>#VALUE!</v>
      </c>
      <c r="AL8" s="86" t="e">
        <f t="shared" si="5"/>
        <v>#N/A</v>
      </c>
      <c r="AM8" s="86" t="str">
        <f>Standard!B10</f>
        <v/>
      </c>
      <c r="AN8" s="87" t="e">
        <f>IF('Production Data-Table'!AH18&lt;&gt;"",'Production Data-Table'!AH18,#N/A)</f>
        <v>#N/A</v>
      </c>
      <c r="AO8" s="97" t="e">
        <f>IF('Production Data-Table'!AC19="",#N/A,'Production Data-Table'!AC17*100)</f>
        <v>#N/A</v>
      </c>
      <c r="AP8" s="97" t="e">
        <f>IF('Production Data-Table'!AE19&lt;&gt;"",'Production Data-Table'!AE17*100,#N/A)</f>
        <v>#N/A</v>
      </c>
      <c r="AQ8" s="97" t="e">
        <f>IF('Production Data-Table'!AG19&lt;&gt;"",'Production Data-Table'!AG17*100,#N/A)</f>
        <v>#N/A</v>
      </c>
      <c r="AR8" s="113" t="e">
        <f>Standard!H10/7</f>
        <v>#VALUE!</v>
      </c>
      <c r="AS8" s="113" t="e">
        <f>IF('Production Data-Table'!O17="",#N/A,'Production Data-Table'!O17/7)</f>
        <v>#N/A</v>
      </c>
      <c r="AT8" s="1" t="e">
        <f>IF('Production Data-Table'!G17&lt;&gt;"",'Production Data-Table'!S17,#N/A)</f>
        <v>#N/A</v>
      </c>
    </row>
    <row r="9" spans="2:47" x14ac:dyDescent="0.2">
      <c r="B9" s="1">
        <v>21</v>
      </c>
      <c r="C9" s="93" t="e">
        <f>100-Standard!E11</f>
        <v>#VALUE!</v>
      </c>
      <c r="D9" s="85" t="e">
        <f>IF('Production Data-Table'!E19="",#N/A,'Production Data-Table'!E19*100)</f>
        <v>#N/A</v>
      </c>
      <c r="E9" s="82" t="str">
        <f>Standard!D11</f>
        <v/>
      </c>
      <c r="F9" s="82" t="e">
        <f>E9-2.2</f>
        <v>#VALUE!</v>
      </c>
      <c r="G9" s="82" t="e">
        <f t="shared" ref="G9:S9" si="7">F9-2.2</f>
        <v>#VALUE!</v>
      </c>
      <c r="H9" s="82" t="e">
        <f t="shared" si="7"/>
        <v>#VALUE!</v>
      </c>
      <c r="I9" s="82" t="e">
        <f t="shared" si="7"/>
        <v>#VALUE!</v>
      </c>
      <c r="J9" s="82" t="e">
        <f t="shared" si="7"/>
        <v>#VALUE!</v>
      </c>
      <c r="K9" s="82" t="e">
        <f t="shared" si="7"/>
        <v>#VALUE!</v>
      </c>
      <c r="L9" s="82" t="e">
        <f t="shared" si="7"/>
        <v>#VALUE!</v>
      </c>
      <c r="M9" s="82" t="e">
        <f t="shared" si="7"/>
        <v>#VALUE!</v>
      </c>
      <c r="N9" s="82" t="e">
        <f t="shared" si="7"/>
        <v>#VALUE!</v>
      </c>
      <c r="O9" s="82" t="e">
        <f t="shared" si="7"/>
        <v>#VALUE!</v>
      </c>
      <c r="P9" s="82" t="e">
        <f t="shared" si="7"/>
        <v>#VALUE!</v>
      </c>
      <c r="Q9" s="82" t="e">
        <f t="shared" si="7"/>
        <v>#VALUE!</v>
      </c>
      <c r="R9" s="82" t="e">
        <f t="shared" si="7"/>
        <v>#VALUE!</v>
      </c>
      <c r="S9" s="82" t="e">
        <f t="shared" si="7"/>
        <v>#VALUE!</v>
      </c>
      <c r="T9" s="83" t="e">
        <f>IF('Production Data-Table'!H19="",#N/A,'Production Data-Table'!H19)</f>
        <v>#N/A</v>
      </c>
      <c r="U9" s="84" t="e">
        <f t="shared" si="3"/>
        <v>#VALUE!</v>
      </c>
      <c r="V9" s="84" t="e">
        <f t="shared" si="1"/>
        <v>#VALUE!</v>
      </c>
      <c r="W9" s="84" t="e">
        <f t="shared" si="1"/>
        <v>#VALUE!</v>
      </c>
      <c r="X9" s="84" t="e">
        <f t="shared" si="1"/>
        <v>#VALUE!</v>
      </c>
      <c r="Y9" s="84" t="e">
        <f t="shared" si="1"/>
        <v>#VALUE!</v>
      </c>
      <c r="Z9" s="84" t="e">
        <f t="shared" si="1"/>
        <v>#VALUE!</v>
      </c>
      <c r="AA9" s="84" t="e">
        <f t="shared" si="1"/>
        <v>#VALUE!</v>
      </c>
      <c r="AB9" s="84" t="str">
        <f>Standard!G11</f>
        <v/>
      </c>
      <c r="AC9" s="84" t="e">
        <f t="shared" si="2"/>
        <v>#VALUE!</v>
      </c>
      <c r="AD9" s="84" t="e">
        <f t="shared" si="2"/>
        <v>#VALUE!</v>
      </c>
      <c r="AE9" s="84" t="e">
        <f t="shared" si="2"/>
        <v>#VALUE!</v>
      </c>
      <c r="AF9" s="84" t="e">
        <f t="shared" si="2"/>
        <v>#VALUE!</v>
      </c>
      <c r="AG9" s="84" t="e">
        <f t="shared" si="2"/>
        <v>#VALUE!</v>
      </c>
      <c r="AH9" s="84" t="e">
        <f t="shared" si="2"/>
        <v>#VALUE!</v>
      </c>
      <c r="AI9" s="84" t="e">
        <f t="shared" si="2"/>
        <v>#VALUE!</v>
      </c>
      <c r="AJ9" s="84" t="e">
        <f>IF('Production Data-Table'!M19="",#N/A,'Production Data-Table'!M19)</f>
        <v>#N/A</v>
      </c>
      <c r="AK9" s="86" t="e">
        <f t="shared" si="4"/>
        <v>#VALUE!</v>
      </c>
      <c r="AL9" s="86" t="e">
        <f t="shared" si="5"/>
        <v>#N/A</v>
      </c>
      <c r="AM9" s="86" t="str">
        <f>Standard!B11</f>
        <v/>
      </c>
      <c r="AN9" s="87" t="e">
        <f>IF('Production Data-Table'!AH19&lt;&gt;"",'Production Data-Table'!AH19,#N/A)</f>
        <v>#N/A</v>
      </c>
      <c r="AO9" s="97" t="e">
        <f>IF('Production Data-Table'!AC20="",#N/A,'Production Data-Table'!AC18*100)</f>
        <v>#N/A</v>
      </c>
      <c r="AP9" s="97" t="e">
        <f>IF('Production Data-Table'!AE20&lt;&gt;"",'Production Data-Table'!AE18*100,#N/A)</f>
        <v>#N/A</v>
      </c>
      <c r="AQ9" s="97" t="e">
        <f>IF('Production Data-Table'!AG20&lt;&gt;"",'Production Data-Table'!AG18*100,#N/A)</f>
        <v>#N/A</v>
      </c>
      <c r="AR9" s="113" t="e">
        <f>Standard!H11/7</f>
        <v>#VALUE!</v>
      </c>
      <c r="AS9" s="113" t="e">
        <f>IF('Production Data-Table'!O18="",#N/A,'Production Data-Table'!O18/7)</f>
        <v>#N/A</v>
      </c>
      <c r="AT9" s="1" t="e">
        <f>IF('Production Data-Table'!G18&lt;&gt;"",'Production Data-Table'!S18,#N/A)</f>
        <v>#N/A</v>
      </c>
      <c r="AU9" s="1" t="e">
        <f>IF('Production Data-Table'!Z18&lt;&gt;"",'Production Data-Table'!Z18,#N/A)</f>
        <v>#N/A</v>
      </c>
    </row>
    <row r="10" spans="2:47" x14ac:dyDescent="0.2">
      <c r="B10" s="1">
        <v>22</v>
      </c>
      <c r="C10" s="93" t="e">
        <f>100-Standard!E12</f>
        <v>#VALUE!</v>
      </c>
      <c r="D10" s="85" t="e">
        <f>IF('Production Data-Table'!E20="",#N/A,'Production Data-Table'!E20*100)</f>
        <v>#N/A</v>
      </c>
      <c r="E10" s="82" t="str">
        <f>Standard!D12</f>
        <v/>
      </c>
      <c r="F10" s="82" t="e">
        <f>E10-1.8</f>
        <v>#VALUE!</v>
      </c>
      <c r="G10" s="82" t="e">
        <f t="shared" ref="G10:S10" si="8">F10-1.8</f>
        <v>#VALUE!</v>
      </c>
      <c r="H10" s="82" t="e">
        <f t="shared" si="8"/>
        <v>#VALUE!</v>
      </c>
      <c r="I10" s="82" t="e">
        <f t="shared" si="8"/>
        <v>#VALUE!</v>
      </c>
      <c r="J10" s="82" t="e">
        <f t="shared" si="8"/>
        <v>#VALUE!</v>
      </c>
      <c r="K10" s="82" t="e">
        <f t="shared" si="8"/>
        <v>#VALUE!</v>
      </c>
      <c r="L10" s="82" t="e">
        <f t="shared" si="8"/>
        <v>#VALUE!</v>
      </c>
      <c r="M10" s="82" t="e">
        <f t="shared" si="8"/>
        <v>#VALUE!</v>
      </c>
      <c r="N10" s="82" t="e">
        <f t="shared" si="8"/>
        <v>#VALUE!</v>
      </c>
      <c r="O10" s="82" t="e">
        <f t="shared" si="8"/>
        <v>#VALUE!</v>
      </c>
      <c r="P10" s="82" t="e">
        <f t="shared" si="8"/>
        <v>#VALUE!</v>
      </c>
      <c r="Q10" s="82" t="e">
        <f t="shared" si="8"/>
        <v>#VALUE!</v>
      </c>
      <c r="R10" s="82" t="e">
        <f t="shared" si="8"/>
        <v>#VALUE!</v>
      </c>
      <c r="S10" s="82" t="e">
        <f t="shared" si="8"/>
        <v>#VALUE!</v>
      </c>
      <c r="T10" s="83" t="e">
        <f>IF('Production Data-Table'!H20="",#N/A,'Production Data-Table'!H20)</f>
        <v>#N/A</v>
      </c>
      <c r="U10" s="84" t="e">
        <f t="shared" si="3"/>
        <v>#VALUE!</v>
      </c>
      <c r="V10" s="84" t="e">
        <f t="shared" si="1"/>
        <v>#VALUE!</v>
      </c>
      <c r="W10" s="84" t="e">
        <f t="shared" si="1"/>
        <v>#VALUE!</v>
      </c>
      <c r="X10" s="84" t="e">
        <f t="shared" si="1"/>
        <v>#VALUE!</v>
      </c>
      <c r="Y10" s="84" t="e">
        <f t="shared" si="1"/>
        <v>#VALUE!</v>
      </c>
      <c r="Z10" s="84" t="e">
        <f t="shared" si="1"/>
        <v>#VALUE!</v>
      </c>
      <c r="AA10" s="84" t="e">
        <f t="shared" si="1"/>
        <v>#VALUE!</v>
      </c>
      <c r="AB10" s="84" t="str">
        <f>Standard!G12</f>
        <v/>
      </c>
      <c r="AC10" s="84" t="e">
        <f t="shared" si="2"/>
        <v>#VALUE!</v>
      </c>
      <c r="AD10" s="84" t="e">
        <f t="shared" si="2"/>
        <v>#VALUE!</v>
      </c>
      <c r="AE10" s="84" t="e">
        <f t="shared" si="2"/>
        <v>#VALUE!</v>
      </c>
      <c r="AF10" s="84" t="e">
        <f t="shared" si="2"/>
        <v>#VALUE!</v>
      </c>
      <c r="AG10" s="84" t="e">
        <f t="shared" si="2"/>
        <v>#VALUE!</v>
      </c>
      <c r="AH10" s="84" t="e">
        <f t="shared" si="2"/>
        <v>#VALUE!</v>
      </c>
      <c r="AI10" s="84" t="e">
        <f t="shared" si="2"/>
        <v>#VALUE!</v>
      </c>
      <c r="AJ10" s="84" t="e">
        <f>IF('Production Data-Table'!M20="",#N/A,'Production Data-Table'!M20)</f>
        <v>#N/A</v>
      </c>
      <c r="AK10" s="86" t="e">
        <f t="shared" si="4"/>
        <v>#VALUE!</v>
      </c>
      <c r="AL10" s="86" t="e">
        <f t="shared" si="5"/>
        <v>#N/A</v>
      </c>
      <c r="AM10" s="86" t="str">
        <f>Standard!B12</f>
        <v/>
      </c>
      <c r="AN10" s="87" t="e">
        <f>IF('Production Data-Table'!AH20&lt;&gt;"",'Production Data-Table'!AH20,#N/A)</f>
        <v>#N/A</v>
      </c>
      <c r="AO10" s="97" t="e">
        <f>IF('Production Data-Table'!AC21="",#N/A,'Production Data-Table'!AC19*100)</f>
        <v>#N/A</v>
      </c>
      <c r="AP10" s="97" t="e">
        <f>IF('Production Data-Table'!AE21&lt;&gt;"",'Production Data-Table'!AE19*100,#N/A)</f>
        <v>#N/A</v>
      </c>
      <c r="AQ10" s="97" t="e">
        <f>IF('Production Data-Table'!AG21&lt;&gt;"",'Production Data-Table'!AG19*100,#N/A)</f>
        <v>#N/A</v>
      </c>
      <c r="AR10" s="113" t="e">
        <f>Standard!H12/7</f>
        <v>#VALUE!</v>
      </c>
      <c r="AS10" s="113" t="e">
        <f>IF('Production Data-Table'!O19="",#N/A,'Production Data-Table'!O19/7)</f>
        <v>#N/A</v>
      </c>
      <c r="AT10" s="1" t="e">
        <f>IF('Production Data-Table'!G19&lt;&gt;"",'Production Data-Table'!S19,#N/A)</f>
        <v>#N/A</v>
      </c>
      <c r="AU10" s="1" t="e">
        <f>IF('Production Data-Table'!Z19&lt;&gt;"",'Production Data-Table'!Z19,#N/A)</f>
        <v>#N/A</v>
      </c>
    </row>
    <row r="11" spans="2:47" x14ac:dyDescent="0.2">
      <c r="B11" s="1">
        <v>23</v>
      </c>
      <c r="C11" s="93" t="e">
        <f>100-Standard!E13</f>
        <v>#VALUE!</v>
      </c>
      <c r="D11" s="85" t="e">
        <f>IF('Production Data-Table'!E21="",#N/A,'Production Data-Table'!E21*100)</f>
        <v>#N/A</v>
      </c>
      <c r="E11" s="82" t="str">
        <f>Standard!D13</f>
        <v/>
      </c>
      <c r="F11" s="82" t="e">
        <f>E11-0.8</f>
        <v>#VALUE!</v>
      </c>
      <c r="G11" s="82" t="e">
        <f t="shared" ref="G11:S11" si="9">F11-0.8</f>
        <v>#VALUE!</v>
      </c>
      <c r="H11" s="82" t="e">
        <f t="shared" si="9"/>
        <v>#VALUE!</v>
      </c>
      <c r="I11" s="82" t="e">
        <f t="shared" si="9"/>
        <v>#VALUE!</v>
      </c>
      <c r="J11" s="82" t="e">
        <f t="shared" si="9"/>
        <v>#VALUE!</v>
      </c>
      <c r="K11" s="82" t="e">
        <f t="shared" si="9"/>
        <v>#VALUE!</v>
      </c>
      <c r="L11" s="82" t="e">
        <f t="shared" si="9"/>
        <v>#VALUE!</v>
      </c>
      <c r="M11" s="82" t="e">
        <f t="shared" si="9"/>
        <v>#VALUE!</v>
      </c>
      <c r="N11" s="82" t="e">
        <f t="shared" si="9"/>
        <v>#VALUE!</v>
      </c>
      <c r="O11" s="82" t="e">
        <f t="shared" si="9"/>
        <v>#VALUE!</v>
      </c>
      <c r="P11" s="82" t="e">
        <f t="shared" si="9"/>
        <v>#VALUE!</v>
      </c>
      <c r="Q11" s="82" t="e">
        <f t="shared" si="9"/>
        <v>#VALUE!</v>
      </c>
      <c r="R11" s="82" t="e">
        <f t="shared" si="9"/>
        <v>#VALUE!</v>
      </c>
      <c r="S11" s="82" t="e">
        <f t="shared" si="9"/>
        <v>#VALUE!</v>
      </c>
      <c r="T11" s="83" t="e">
        <f>IF('Production Data-Table'!H21="",#N/A,'Production Data-Table'!H21)</f>
        <v>#N/A</v>
      </c>
      <c r="U11" s="84" t="e">
        <f t="shared" si="3"/>
        <v>#VALUE!</v>
      </c>
      <c r="V11" s="84" t="e">
        <f t="shared" si="1"/>
        <v>#VALUE!</v>
      </c>
      <c r="W11" s="84" t="e">
        <f t="shared" si="1"/>
        <v>#VALUE!</v>
      </c>
      <c r="X11" s="84" t="e">
        <f t="shared" si="1"/>
        <v>#VALUE!</v>
      </c>
      <c r="Y11" s="84" t="e">
        <f t="shared" si="1"/>
        <v>#VALUE!</v>
      </c>
      <c r="Z11" s="84" t="e">
        <f t="shared" si="1"/>
        <v>#VALUE!</v>
      </c>
      <c r="AA11" s="84" t="e">
        <f t="shared" si="1"/>
        <v>#VALUE!</v>
      </c>
      <c r="AB11" s="84" t="str">
        <f>Standard!G13</f>
        <v/>
      </c>
      <c r="AC11" s="84" t="e">
        <f t="shared" si="2"/>
        <v>#VALUE!</v>
      </c>
      <c r="AD11" s="84" t="e">
        <f t="shared" si="2"/>
        <v>#VALUE!</v>
      </c>
      <c r="AE11" s="84" t="e">
        <f t="shared" si="2"/>
        <v>#VALUE!</v>
      </c>
      <c r="AF11" s="84" t="e">
        <f t="shared" si="2"/>
        <v>#VALUE!</v>
      </c>
      <c r="AG11" s="84" t="e">
        <f t="shared" si="2"/>
        <v>#VALUE!</v>
      </c>
      <c r="AH11" s="84" t="e">
        <f t="shared" si="2"/>
        <v>#VALUE!</v>
      </c>
      <c r="AI11" s="84" t="e">
        <f t="shared" si="2"/>
        <v>#VALUE!</v>
      </c>
      <c r="AJ11" s="84" t="e">
        <f>IF('Production Data-Table'!M21="",#N/A,'Production Data-Table'!M21)</f>
        <v>#N/A</v>
      </c>
      <c r="AK11" s="86" t="e">
        <f t="shared" si="4"/>
        <v>#VALUE!</v>
      </c>
      <c r="AL11" s="86" t="e">
        <f t="shared" si="5"/>
        <v>#N/A</v>
      </c>
      <c r="AM11" s="86" t="str">
        <f>Standard!B13</f>
        <v/>
      </c>
      <c r="AN11" s="87" t="e">
        <f>IF('Production Data-Table'!AH21&lt;&gt;"",'Production Data-Table'!AH21,#N/A)</f>
        <v>#N/A</v>
      </c>
      <c r="AO11" s="97" t="e">
        <f>IF('Production Data-Table'!AC22="",#N/A,'Production Data-Table'!AC20*100)</f>
        <v>#N/A</v>
      </c>
      <c r="AP11" s="97" t="e">
        <f>IF('Production Data-Table'!AE22&lt;&gt;"",'Production Data-Table'!AE20*100,#N/A)</f>
        <v>#N/A</v>
      </c>
      <c r="AQ11" s="97" t="e">
        <f>IF('Production Data-Table'!AG22&lt;&gt;"",'Production Data-Table'!AG20*100,#N/A)</f>
        <v>#N/A</v>
      </c>
      <c r="AR11" s="113" t="e">
        <f>Standard!H13/7</f>
        <v>#VALUE!</v>
      </c>
      <c r="AS11" s="113" t="e">
        <f>IF('Production Data-Table'!O20="",#N/A,'Production Data-Table'!O20/7)</f>
        <v>#N/A</v>
      </c>
      <c r="AT11" s="1" t="e">
        <f>IF('Production Data-Table'!G20&lt;&gt;"",'Production Data-Table'!S20,#N/A)</f>
        <v>#N/A</v>
      </c>
      <c r="AU11" s="1" t="e">
        <f>IF('Production Data-Table'!Z20&lt;&gt;"",'Production Data-Table'!Z20,#N/A)</f>
        <v>#N/A</v>
      </c>
    </row>
    <row r="12" spans="2:47" x14ac:dyDescent="0.2">
      <c r="B12" s="1">
        <v>24</v>
      </c>
      <c r="C12" s="93" t="e">
        <f>100-Standard!E14</f>
        <v>#VALUE!</v>
      </c>
      <c r="D12" s="85" t="e">
        <f>IF('Production Data-Table'!E22="",#N/A,'Production Data-Table'!E22*100)</f>
        <v>#N/A</v>
      </c>
      <c r="E12" s="82" t="str">
        <f>Standard!D14</f>
        <v/>
      </c>
      <c r="F12" s="82" t="e">
        <f t="shared" ref="F12:S12" si="10">E12*$E$3</f>
        <v>#VALUE!</v>
      </c>
      <c r="G12" s="82" t="e">
        <f t="shared" si="10"/>
        <v>#VALUE!</v>
      </c>
      <c r="H12" s="82" t="e">
        <f t="shared" si="10"/>
        <v>#VALUE!</v>
      </c>
      <c r="I12" s="82" t="e">
        <f t="shared" si="10"/>
        <v>#VALUE!</v>
      </c>
      <c r="J12" s="82" t="e">
        <f t="shared" si="10"/>
        <v>#VALUE!</v>
      </c>
      <c r="K12" s="82" t="e">
        <f t="shared" si="10"/>
        <v>#VALUE!</v>
      </c>
      <c r="L12" s="82" t="e">
        <f t="shared" si="10"/>
        <v>#VALUE!</v>
      </c>
      <c r="M12" s="82" t="e">
        <f t="shared" si="10"/>
        <v>#VALUE!</v>
      </c>
      <c r="N12" s="82" t="e">
        <f t="shared" si="10"/>
        <v>#VALUE!</v>
      </c>
      <c r="O12" s="82" t="e">
        <f t="shared" si="10"/>
        <v>#VALUE!</v>
      </c>
      <c r="P12" s="82" t="e">
        <f t="shared" si="10"/>
        <v>#VALUE!</v>
      </c>
      <c r="Q12" s="82" t="e">
        <f t="shared" si="10"/>
        <v>#VALUE!</v>
      </c>
      <c r="R12" s="82" t="e">
        <f t="shared" si="10"/>
        <v>#VALUE!</v>
      </c>
      <c r="S12" s="82" t="e">
        <f t="shared" si="10"/>
        <v>#VALUE!</v>
      </c>
      <c r="T12" s="83" t="e">
        <f>IF('Production Data-Table'!H22="",#N/A,'Production Data-Table'!H22)</f>
        <v>#N/A</v>
      </c>
      <c r="U12" s="84" t="e">
        <f t="shared" si="3"/>
        <v>#VALUE!</v>
      </c>
      <c r="V12" s="84" t="e">
        <f t="shared" si="1"/>
        <v>#VALUE!</v>
      </c>
      <c r="W12" s="84" t="e">
        <f t="shared" si="1"/>
        <v>#VALUE!</v>
      </c>
      <c r="X12" s="84" t="e">
        <f t="shared" si="1"/>
        <v>#VALUE!</v>
      </c>
      <c r="Y12" s="84" t="e">
        <f t="shared" si="1"/>
        <v>#VALUE!</v>
      </c>
      <c r="Z12" s="84" t="e">
        <f t="shared" si="1"/>
        <v>#VALUE!</v>
      </c>
      <c r="AA12" s="84" t="e">
        <f t="shared" si="1"/>
        <v>#VALUE!</v>
      </c>
      <c r="AB12" s="84" t="str">
        <f>Standard!G14</f>
        <v/>
      </c>
      <c r="AC12" s="84" t="e">
        <f t="shared" si="2"/>
        <v>#VALUE!</v>
      </c>
      <c r="AD12" s="84" t="e">
        <f t="shared" si="2"/>
        <v>#VALUE!</v>
      </c>
      <c r="AE12" s="84" t="e">
        <f t="shared" si="2"/>
        <v>#VALUE!</v>
      </c>
      <c r="AF12" s="84" t="e">
        <f t="shared" si="2"/>
        <v>#VALUE!</v>
      </c>
      <c r="AG12" s="84" t="e">
        <f t="shared" si="2"/>
        <v>#VALUE!</v>
      </c>
      <c r="AH12" s="84" t="e">
        <f t="shared" si="2"/>
        <v>#VALUE!</v>
      </c>
      <c r="AI12" s="84" t="e">
        <f t="shared" si="2"/>
        <v>#VALUE!</v>
      </c>
      <c r="AJ12" s="84" t="e">
        <f>IF('Production Data-Table'!M22="",#N/A,'Production Data-Table'!M22)</f>
        <v>#N/A</v>
      </c>
      <c r="AK12" s="86" t="e">
        <f t="shared" si="4"/>
        <v>#VALUE!</v>
      </c>
      <c r="AL12" s="86" t="e">
        <f t="shared" si="5"/>
        <v>#N/A</v>
      </c>
      <c r="AM12" s="86" t="str">
        <f>Standard!B14</f>
        <v/>
      </c>
      <c r="AN12" s="87" t="e">
        <f>IF('Production Data-Table'!AH22&lt;&gt;"",'Production Data-Table'!AH22,#N/A)</f>
        <v>#N/A</v>
      </c>
      <c r="AO12" s="97" t="e">
        <f>IF('Production Data-Table'!AC23="",#N/A,'Production Data-Table'!AC21*100)</f>
        <v>#N/A</v>
      </c>
      <c r="AP12" s="97" t="e">
        <f>IF('Production Data-Table'!AE23&lt;&gt;"",'Production Data-Table'!AE21*100,#N/A)</f>
        <v>#N/A</v>
      </c>
      <c r="AQ12" s="97" t="e">
        <f>IF('Production Data-Table'!AG23&lt;&gt;"",'Production Data-Table'!AG21*100,#N/A)</f>
        <v>#N/A</v>
      </c>
      <c r="AR12" s="113" t="e">
        <f>Standard!H14/7</f>
        <v>#VALUE!</v>
      </c>
      <c r="AS12" s="113" t="e">
        <f>IF('Production Data-Table'!O21="",#N/A,'Production Data-Table'!O21/7)</f>
        <v>#N/A</v>
      </c>
      <c r="AT12" s="1" t="e">
        <f>IF('Production Data-Table'!G21&lt;&gt;"",'Production Data-Table'!S21,#N/A)</f>
        <v>#N/A</v>
      </c>
      <c r="AU12" s="1" t="e">
        <f>IF('Production Data-Table'!Z21&lt;&gt;"",'Production Data-Table'!Z21,#N/A)</f>
        <v>#N/A</v>
      </c>
    </row>
    <row r="13" spans="2:47" x14ac:dyDescent="0.2">
      <c r="B13" s="1">
        <v>25</v>
      </c>
      <c r="C13" s="93" t="e">
        <f>100-Standard!E15</f>
        <v>#VALUE!</v>
      </c>
      <c r="D13" s="85" t="e">
        <f>IF('Production Data-Table'!E23="",#N/A,'Production Data-Table'!E23*100)</f>
        <v>#N/A</v>
      </c>
      <c r="E13" s="82" t="str">
        <f>Standard!D15</f>
        <v/>
      </c>
      <c r="F13" s="82" t="e">
        <f t="shared" ref="F13:S13" si="11">E13*$E$3</f>
        <v>#VALUE!</v>
      </c>
      <c r="G13" s="82" t="e">
        <f t="shared" si="11"/>
        <v>#VALUE!</v>
      </c>
      <c r="H13" s="82" t="e">
        <f t="shared" si="11"/>
        <v>#VALUE!</v>
      </c>
      <c r="I13" s="82" t="e">
        <f t="shared" si="11"/>
        <v>#VALUE!</v>
      </c>
      <c r="J13" s="82" t="e">
        <f t="shared" si="11"/>
        <v>#VALUE!</v>
      </c>
      <c r="K13" s="82" t="e">
        <f t="shared" si="11"/>
        <v>#VALUE!</v>
      </c>
      <c r="L13" s="82" t="e">
        <f t="shared" si="11"/>
        <v>#VALUE!</v>
      </c>
      <c r="M13" s="82" t="e">
        <f t="shared" si="11"/>
        <v>#VALUE!</v>
      </c>
      <c r="N13" s="82" t="e">
        <f t="shared" si="11"/>
        <v>#VALUE!</v>
      </c>
      <c r="O13" s="82" t="e">
        <f t="shared" si="11"/>
        <v>#VALUE!</v>
      </c>
      <c r="P13" s="82" t="e">
        <f t="shared" si="11"/>
        <v>#VALUE!</v>
      </c>
      <c r="Q13" s="82" t="e">
        <f t="shared" si="11"/>
        <v>#VALUE!</v>
      </c>
      <c r="R13" s="82" t="e">
        <f t="shared" si="11"/>
        <v>#VALUE!</v>
      </c>
      <c r="S13" s="82" t="e">
        <f t="shared" si="11"/>
        <v>#VALUE!</v>
      </c>
      <c r="T13" s="83" t="e">
        <f>IF('Production Data-Table'!H23="",#N/A,'Production Data-Table'!H23)</f>
        <v>#N/A</v>
      </c>
      <c r="U13" s="84" t="e">
        <f t="shared" si="3"/>
        <v>#VALUE!</v>
      </c>
      <c r="V13" s="84" t="e">
        <f t="shared" si="1"/>
        <v>#VALUE!</v>
      </c>
      <c r="W13" s="84" t="e">
        <f t="shared" si="1"/>
        <v>#VALUE!</v>
      </c>
      <c r="X13" s="84" t="e">
        <f t="shared" si="1"/>
        <v>#VALUE!</v>
      </c>
      <c r="Y13" s="84" t="e">
        <f t="shared" si="1"/>
        <v>#VALUE!</v>
      </c>
      <c r="Z13" s="84" t="e">
        <f t="shared" si="1"/>
        <v>#VALUE!</v>
      </c>
      <c r="AA13" s="84" t="e">
        <f t="shared" si="1"/>
        <v>#VALUE!</v>
      </c>
      <c r="AB13" s="84" t="str">
        <f>Standard!G15</f>
        <v/>
      </c>
      <c r="AC13" s="84" t="e">
        <f t="shared" si="2"/>
        <v>#VALUE!</v>
      </c>
      <c r="AD13" s="84" t="e">
        <f t="shared" si="2"/>
        <v>#VALUE!</v>
      </c>
      <c r="AE13" s="84" t="e">
        <f t="shared" si="2"/>
        <v>#VALUE!</v>
      </c>
      <c r="AF13" s="84" t="e">
        <f t="shared" si="2"/>
        <v>#VALUE!</v>
      </c>
      <c r="AG13" s="84" t="e">
        <f t="shared" si="2"/>
        <v>#VALUE!</v>
      </c>
      <c r="AH13" s="84" t="e">
        <f t="shared" si="2"/>
        <v>#VALUE!</v>
      </c>
      <c r="AI13" s="84" t="e">
        <f t="shared" si="2"/>
        <v>#VALUE!</v>
      </c>
      <c r="AJ13" s="84" t="e">
        <f>IF('Production Data-Table'!M23="",#N/A,'Production Data-Table'!M23)</f>
        <v>#N/A</v>
      </c>
      <c r="AK13" s="86" t="e">
        <f t="shared" si="4"/>
        <v>#VALUE!</v>
      </c>
      <c r="AL13" s="86" t="e">
        <f t="shared" si="5"/>
        <v>#N/A</v>
      </c>
      <c r="AM13" s="86" t="str">
        <f>Standard!B15</f>
        <v/>
      </c>
      <c r="AN13" s="87" t="e">
        <f>IF('Production Data-Table'!AH23&lt;&gt;"",'Production Data-Table'!AH23,#N/A)</f>
        <v>#N/A</v>
      </c>
      <c r="AO13" s="97" t="e">
        <f>IF('Production Data-Table'!AC24="",#N/A,'Production Data-Table'!AC22*100)</f>
        <v>#N/A</v>
      </c>
      <c r="AP13" s="97" t="e">
        <f>IF('Production Data-Table'!AE24&lt;&gt;"",'Production Data-Table'!AE22*100,#N/A)</f>
        <v>#N/A</v>
      </c>
      <c r="AQ13" s="97" t="e">
        <f>IF('Production Data-Table'!AG24&lt;&gt;"",'Production Data-Table'!AG22*100,#N/A)</f>
        <v>#N/A</v>
      </c>
      <c r="AR13" s="113" t="e">
        <f>Standard!H15/7</f>
        <v>#VALUE!</v>
      </c>
      <c r="AS13" s="113" t="e">
        <f>IF('Production Data-Table'!O22="",#N/A,'Production Data-Table'!O22/7)</f>
        <v>#N/A</v>
      </c>
      <c r="AT13" s="1" t="e">
        <f>IF('Production Data-Table'!G22&lt;&gt;"",'Production Data-Table'!S22,#N/A)</f>
        <v>#N/A</v>
      </c>
      <c r="AU13" s="1" t="e">
        <f>IF('Production Data-Table'!Z22&lt;&gt;"",'Production Data-Table'!Z22,#N/A)</f>
        <v>#N/A</v>
      </c>
    </row>
    <row r="14" spans="2:47" x14ac:dyDescent="0.2">
      <c r="B14" s="1">
        <v>26</v>
      </c>
      <c r="C14" s="93" t="e">
        <f>100-Standard!E16</f>
        <v>#VALUE!</v>
      </c>
      <c r="D14" s="85" t="e">
        <f>IF('Production Data-Table'!E24="",#N/A,'Production Data-Table'!E24*100)</f>
        <v>#N/A</v>
      </c>
      <c r="E14" s="82" t="str">
        <f>Standard!D16</f>
        <v/>
      </c>
      <c r="F14" s="82" t="e">
        <f t="shared" ref="F14:S14" si="12">E14*$E$3</f>
        <v>#VALUE!</v>
      </c>
      <c r="G14" s="82" t="e">
        <f t="shared" si="12"/>
        <v>#VALUE!</v>
      </c>
      <c r="H14" s="82" t="e">
        <f t="shared" si="12"/>
        <v>#VALUE!</v>
      </c>
      <c r="I14" s="82" t="e">
        <f t="shared" si="12"/>
        <v>#VALUE!</v>
      </c>
      <c r="J14" s="82" t="e">
        <f t="shared" si="12"/>
        <v>#VALUE!</v>
      </c>
      <c r="K14" s="82" t="e">
        <f t="shared" si="12"/>
        <v>#VALUE!</v>
      </c>
      <c r="L14" s="82" t="e">
        <f t="shared" si="12"/>
        <v>#VALUE!</v>
      </c>
      <c r="M14" s="82" t="e">
        <f t="shared" si="12"/>
        <v>#VALUE!</v>
      </c>
      <c r="N14" s="82" t="e">
        <f t="shared" si="12"/>
        <v>#VALUE!</v>
      </c>
      <c r="O14" s="82" t="e">
        <f t="shared" si="12"/>
        <v>#VALUE!</v>
      </c>
      <c r="P14" s="82" t="e">
        <f t="shared" si="12"/>
        <v>#VALUE!</v>
      </c>
      <c r="Q14" s="82" t="e">
        <f t="shared" si="12"/>
        <v>#VALUE!</v>
      </c>
      <c r="R14" s="82" t="e">
        <f t="shared" si="12"/>
        <v>#VALUE!</v>
      </c>
      <c r="S14" s="82" t="e">
        <f t="shared" si="12"/>
        <v>#VALUE!</v>
      </c>
      <c r="T14" s="83" t="e">
        <f>IF('Production Data-Table'!H24="",#N/A,'Production Data-Table'!H24)</f>
        <v>#N/A</v>
      </c>
      <c r="U14" s="84" t="e">
        <f t="shared" si="3"/>
        <v>#VALUE!</v>
      </c>
      <c r="V14" s="84" t="e">
        <f t="shared" si="1"/>
        <v>#VALUE!</v>
      </c>
      <c r="W14" s="84" t="e">
        <f t="shared" si="1"/>
        <v>#VALUE!</v>
      </c>
      <c r="X14" s="84" t="e">
        <f t="shared" si="1"/>
        <v>#VALUE!</v>
      </c>
      <c r="Y14" s="84" t="e">
        <f t="shared" si="1"/>
        <v>#VALUE!</v>
      </c>
      <c r="Z14" s="84" t="e">
        <f t="shared" si="1"/>
        <v>#VALUE!</v>
      </c>
      <c r="AA14" s="84" t="e">
        <f t="shared" si="1"/>
        <v>#VALUE!</v>
      </c>
      <c r="AB14" s="84" t="str">
        <f>Standard!G16</f>
        <v/>
      </c>
      <c r="AC14" s="84" t="e">
        <f t="shared" si="2"/>
        <v>#VALUE!</v>
      </c>
      <c r="AD14" s="84" t="e">
        <f t="shared" si="2"/>
        <v>#VALUE!</v>
      </c>
      <c r="AE14" s="84" t="e">
        <f t="shared" si="2"/>
        <v>#VALUE!</v>
      </c>
      <c r="AF14" s="84" t="e">
        <f t="shared" si="2"/>
        <v>#VALUE!</v>
      </c>
      <c r="AG14" s="84" t="e">
        <f t="shared" si="2"/>
        <v>#VALUE!</v>
      </c>
      <c r="AH14" s="84" t="e">
        <f t="shared" si="2"/>
        <v>#VALUE!</v>
      </c>
      <c r="AI14" s="84" t="e">
        <f t="shared" si="2"/>
        <v>#VALUE!</v>
      </c>
      <c r="AJ14" s="84" t="e">
        <f>IF('Production Data-Table'!M24="",#N/A,'Production Data-Table'!M24)</f>
        <v>#N/A</v>
      </c>
      <c r="AK14" s="86" t="e">
        <f t="shared" si="4"/>
        <v>#VALUE!</v>
      </c>
      <c r="AL14" s="86" t="e">
        <f t="shared" si="5"/>
        <v>#N/A</v>
      </c>
      <c r="AM14" s="86" t="str">
        <f>Standard!B16</f>
        <v/>
      </c>
      <c r="AN14" s="87" t="e">
        <f>IF('Production Data-Table'!AH24&lt;&gt;"",'Production Data-Table'!AH24,#N/A)</f>
        <v>#N/A</v>
      </c>
      <c r="AO14" s="97" t="e">
        <f>IF('Production Data-Table'!AC25="",#N/A,'Production Data-Table'!AC23*100)</f>
        <v>#N/A</v>
      </c>
      <c r="AP14" s="97" t="e">
        <f>IF('Production Data-Table'!AE25&lt;&gt;"",'Production Data-Table'!AE23*100,#N/A)</f>
        <v>#N/A</v>
      </c>
      <c r="AQ14" s="97" t="e">
        <f>IF('Production Data-Table'!AG25&lt;&gt;"",'Production Data-Table'!AG23*100,#N/A)</f>
        <v>#N/A</v>
      </c>
      <c r="AR14" s="113" t="e">
        <f>Standard!H16/7</f>
        <v>#VALUE!</v>
      </c>
      <c r="AS14" s="113" t="e">
        <f>IF('Production Data-Table'!O23="",#N/A,'Production Data-Table'!O23/7)</f>
        <v>#N/A</v>
      </c>
      <c r="AT14" s="1" t="e">
        <f>IF('Production Data-Table'!G23&lt;&gt;"",'Production Data-Table'!S23,#N/A)</f>
        <v>#N/A</v>
      </c>
      <c r="AU14" s="1" t="e">
        <f>IF('Production Data-Table'!Z23&lt;&gt;"",'Production Data-Table'!Z23,#N/A)</f>
        <v>#N/A</v>
      </c>
    </row>
    <row r="15" spans="2:47" x14ac:dyDescent="0.2">
      <c r="B15" s="1">
        <v>27</v>
      </c>
      <c r="C15" s="93" t="e">
        <f>100-Standard!E17</f>
        <v>#VALUE!</v>
      </c>
      <c r="D15" s="85" t="e">
        <f>IF('Production Data-Table'!E25="",#N/A,'Production Data-Table'!E25*100)</f>
        <v>#N/A</v>
      </c>
      <c r="E15" s="82" t="str">
        <f>Standard!D17</f>
        <v/>
      </c>
      <c r="F15" s="82" t="e">
        <f t="shared" ref="F15:S15" si="13">E15*$E$3</f>
        <v>#VALUE!</v>
      </c>
      <c r="G15" s="82" t="e">
        <f t="shared" si="13"/>
        <v>#VALUE!</v>
      </c>
      <c r="H15" s="82" t="e">
        <f t="shared" si="13"/>
        <v>#VALUE!</v>
      </c>
      <c r="I15" s="82" t="e">
        <f t="shared" si="13"/>
        <v>#VALUE!</v>
      </c>
      <c r="J15" s="82" t="e">
        <f t="shared" si="13"/>
        <v>#VALUE!</v>
      </c>
      <c r="K15" s="82" t="e">
        <f t="shared" si="13"/>
        <v>#VALUE!</v>
      </c>
      <c r="L15" s="82" t="e">
        <f t="shared" si="13"/>
        <v>#VALUE!</v>
      </c>
      <c r="M15" s="82" t="e">
        <f t="shared" si="13"/>
        <v>#VALUE!</v>
      </c>
      <c r="N15" s="82" t="e">
        <f t="shared" si="13"/>
        <v>#VALUE!</v>
      </c>
      <c r="O15" s="82" t="e">
        <f t="shared" si="13"/>
        <v>#VALUE!</v>
      </c>
      <c r="P15" s="82" t="e">
        <f t="shared" si="13"/>
        <v>#VALUE!</v>
      </c>
      <c r="Q15" s="82" t="e">
        <f t="shared" si="13"/>
        <v>#VALUE!</v>
      </c>
      <c r="R15" s="82" t="e">
        <f t="shared" si="13"/>
        <v>#VALUE!</v>
      </c>
      <c r="S15" s="82" t="e">
        <f t="shared" si="13"/>
        <v>#VALUE!</v>
      </c>
      <c r="T15" s="83" t="e">
        <f>IF('Production Data-Table'!H25="",#N/A,'Production Data-Table'!H25)</f>
        <v>#N/A</v>
      </c>
      <c r="U15" s="84" t="e">
        <f t="shared" si="3"/>
        <v>#VALUE!</v>
      </c>
      <c r="V15" s="84" t="e">
        <f t="shared" si="1"/>
        <v>#VALUE!</v>
      </c>
      <c r="W15" s="84" t="e">
        <f t="shared" si="1"/>
        <v>#VALUE!</v>
      </c>
      <c r="X15" s="84" t="e">
        <f t="shared" si="1"/>
        <v>#VALUE!</v>
      </c>
      <c r="Y15" s="84" t="e">
        <f t="shared" si="1"/>
        <v>#VALUE!</v>
      </c>
      <c r="Z15" s="84" t="e">
        <f t="shared" si="1"/>
        <v>#VALUE!</v>
      </c>
      <c r="AA15" s="84" t="e">
        <f t="shared" si="1"/>
        <v>#VALUE!</v>
      </c>
      <c r="AB15" s="84" t="str">
        <f>Standard!G17</f>
        <v/>
      </c>
      <c r="AC15" s="84" t="e">
        <f t="shared" si="2"/>
        <v>#VALUE!</v>
      </c>
      <c r="AD15" s="84" t="e">
        <f t="shared" si="2"/>
        <v>#VALUE!</v>
      </c>
      <c r="AE15" s="84" t="e">
        <f t="shared" si="2"/>
        <v>#VALUE!</v>
      </c>
      <c r="AF15" s="84" t="e">
        <f t="shared" si="2"/>
        <v>#VALUE!</v>
      </c>
      <c r="AG15" s="84" t="e">
        <f t="shared" si="2"/>
        <v>#VALUE!</v>
      </c>
      <c r="AH15" s="84" t="e">
        <f t="shared" si="2"/>
        <v>#VALUE!</v>
      </c>
      <c r="AI15" s="84" t="e">
        <f t="shared" si="2"/>
        <v>#VALUE!</v>
      </c>
      <c r="AJ15" s="84" t="e">
        <f>IF('Production Data-Table'!M25="",#N/A,'Production Data-Table'!M25)</f>
        <v>#N/A</v>
      </c>
      <c r="AK15" s="86" t="e">
        <f t="shared" si="4"/>
        <v>#VALUE!</v>
      </c>
      <c r="AL15" s="86" t="e">
        <f t="shared" si="5"/>
        <v>#N/A</v>
      </c>
      <c r="AM15" s="86" t="str">
        <f>Standard!B17</f>
        <v/>
      </c>
      <c r="AN15" s="87" t="e">
        <f>IF('Production Data-Table'!AH25&lt;&gt;"",'Production Data-Table'!AH25,#N/A)</f>
        <v>#N/A</v>
      </c>
      <c r="AO15" s="97" t="e">
        <f>IF('Production Data-Table'!AC26="",#N/A,'Production Data-Table'!AC24*100)</f>
        <v>#N/A</v>
      </c>
      <c r="AP15" s="97" t="e">
        <f>IF('Production Data-Table'!AE26&lt;&gt;"",'Production Data-Table'!AE24*100,#N/A)</f>
        <v>#N/A</v>
      </c>
      <c r="AQ15" s="97" t="e">
        <f>IF('Production Data-Table'!AG26&lt;&gt;"",'Production Data-Table'!AG24*100,#N/A)</f>
        <v>#N/A</v>
      </c>
      <c r="AR15" s="113" t="e">
        <f>Standard!H17/7</f>
        <v>#VALUE!</v>
      </c>
      <c r="AS15" s="113" t="e">
        <f>IF('Production Data-Table'!O24="",#N/A,'Production Data-Table'!O24/7)</f>
        <v>#N/A</v>
      </c>
      <c r="AT15" s="1" t="e">
        <f>IF('Production Data-Table'!G24&lt;&gt;"",'Production Data-Table'!S24,#N/A)</f>
        <v>#N/A</v>
      </c>
      <c r="AU15" s="1" t="e">
        <f>IF('Production Data-Table'!Z24&lt;&gt;"",'Production Data-Table'!Z24,#N/A)</f>
        <v>#N/A</v>
      </c>
    </row>
    <row r="16" spans="2:47" x14ac:dyDescent="0.2">
      <c r="B16" s="1">
        <v>28</v>
      </c>
      <c r="C16" s="93" t="e">
        <f>100-Standard!E18</f>
        <v>#VALUE!</v>
      </c>
      <c r="D16" s="85" t="e">
        <f>IF('Production Data-Table'!E26="",#N/A,'Production Data-Table'!E26*100)</f>
        <v>#N/A</v>
      </c>
      <c r="E16" s="82" t="str">
        <f>Standard!D18</f>
        <v/>
      </c>
      <c r="F16" s="82" t="e">
        <f t="shared" ref="F16:S16" si="14">E16*$E$3</f>
        <v>#VALUE!</v>
      </c>
      <c r="G16" s="82" t="e">
        <f t="shared" si="14"/>
        <v>#VALUE!</v>
      </c>
      <c r="H16" s="82" t="e">
        <f t="shared" si="14"/>
        <v>#VALUE!</v>
      </c>
      <c r="I16" s="82" t="e">
        <f t="shared" si="14"/>
        <v>#VALUE!</v>
      </c>
      <c r="J16" s="82" t="e">
        <f t="shared" si="14"/>
        <v>#VALUE!</v>
      </c>
      <c r="K16" s="82" t="e">
        <f t="shared" si="14"/>
        <v>#VALUE!</v>
      </c>
      <c r="L16" s="82" t="e">
        <f t="shared" si="14"/>
        <v>#VALUE!</v>
      </c>
      <c r="M16" s="82" t="e">
        <f t="shared" si="14"/>
        <v>#VALUE!</v>
      </c>
      <c r="N16" s="82" t="e">
        <f t="shared" si="14"/>
        <v>#VALUE!</v>
      </c>
      <c r="O16" s="82" t="e">
        <f t="shared" si="14"/>
        <v>#VALUE!</v>
      </c>
      <c r="P16" s="82" t="e">
        <f t="shared" si="14"/>
        <v>#VALUE!</v>
      </c>
      <c r="Q16" s="82" t="e">
        <f t="shared" si="14"/>
        <v>#VALUE!</v>
      </c>
      <c r="R16" s="82" t="e">
        <f t="shared" si="14"/>
        <v>#VALUE!</v>
      </c>
      <c r="S16" s="82" t="e">
        <f t="shared" si="14"/>
        <v>#VALUE!</v>
      </c>
      <c r="T16" s="83" t="e">
        <f>IF('Production Data-Table'!H26="",#N/A,'Production Data-Table'!H26)</f>
        <v>#N/A</v>
      </c>
      <c r="U16" s="84" t="e">
        <f t="shared" si="3"/>
        <v>#VALUE!</v>
      </c>
      <c r="V16" s="84" t="e">
        <f t="shared" ref="V16:AA25" si="15">W16*$V$3</f>
        <v>#VALUE!</v>
      </c>
      <c r="W16" s="84" t="e">
        <f t="shared" si="15"/>
        <v>#VALUE!</v>
      </c>
      <c r="X16" s="84" t="e">
        <f t="shared" si="15"/>
        <v>#VALUE!</v>
      </c>
      <c r="Y16" s="84" t="e">
        <f t="shared" si="15"/>
        <v>#VALUE!</v>
      </c>
      <c r="Z16" s="84" t="e">
        <f t="shared" si="15"/>
        <v>#VALUE!</v>
      </c>
      <c r="AA16" s="84" t="e">
        <f t="shared" si="15"/>
        <v>#VALUE!</v>
      </c>
      <c r="AB16" s="84" t="str">
        <f>Standard!G18</f>
        <v/>
      </c>
      <c r="AC16" s="84" t="e">
        <f t="shared" ref="AC16:AI25" si="16">AB16*$U$3</f>
        <v>#VALUE!</v>
      </c>
      <c r="AD16" s="84" t="e">
        <f t="shared" si="16"/>
        <v>#VALUE!</v>
      </c>
      <c r="AE16" s="84" t="e">
        <f t="shared" si="16"/>
        <v>#VALUE!</v>
      </c>
      <c r="AF16" s="84" t="e">
        <f t="shared" si="16"/>
        <v>#VALUE!</v>
      </c>
      <c r="AG16" s="84" t="e">
        <f t="shared" si="16"/>
        <v>#VALUE!</v>
      </c>
      <c r="AH16" s="84" t="e">
        <f t="shared" si="16"/>
        <v>#VALUE!</v>
      </c>
      <c r="AI16" s="84" t="e">
        <f t="shared" si="16"/>
        <v>#VALUE!</v>
      </c>
      <c r="AJ16" s="84" t="e">
        <f>IF('Production Data-Table'!M26="",#N/A,'Production Data-Table'!M26)</f>
        <v>#N/A</v>
      </c>
      <c r="AK16" s="86" t="e">
        <f t="shared" si="4"/>
        <v>#VALUE!</v>
      </c>
      <c r="AL16" s="86" t="e">
        <f t="shared" si="5"/>
        <v>#N/A</v>
      </c>
      <c r="AM16" s="86" t="str">
        <f>Standard!B18</f>
        <v/>
      </c>
      <c r="AN16" s="87" t="e">
        <f>IF('Production Data-Table'!AH26&lt;&gt;"",'Production Data-Table'!AH26,#N/A)</f>
        <v>#N/A</v>
      </c>
      <c r="AO16" s="97" t="e">
        <f>IF('Production Data-Table'!AC27="",#N/A,'Production Data-Table'!AC25*100)</f>
        <v>#N/A</v>
      </c>
      <c r="AP16" s="97" t="e">
        <f>IF('Production Data-Table'!AE27&lt;&gt;"",'Production Data-Table'!AE25*100,#N/A)</f>
        <v>#N/A</v>
      </c>
      <c r="AQ16" s="97" t="e">
        <f>IF('Production Data-Table'!AG27&lt;&gt;"",'Production Data-Table'!AG25*100,#N/A)</f>
        <v>#N/A</v>
      </c>
      <c r="AR16" s="113" t="e">
        <f>Standard!H18/7</f>
        <v>#VALUE!</v>
      </c>
      <c r="AS16" s="113" t="e">
        <f>IF('Production Data-Table'!O25="",#N/A,'Production Data-Table'!O25/7)</f>
        <v>#N/A</v>
      </c>
      <c r="AT16" s="1" t="e">
        <f>IF('Production Data-Table'!G25&lt;&gt;"",'Production Data-Table'!S25,#N/A)</f>
        <v>#N/A</v>
      </c>
      <c r="AU16" s="1" t="e">
        <f>IF('Production Data-Table'!Z25&lt;&gt;"",'Production Data-Table'!Z25,#N/A)</f>
        <v>#N/A</v>
      </c>
    </row>
    <row r="17" spans="2:47" x14ac:dyDescent="0.2">
      <c r="B17" s="1">
        <v>29</v>
      </c>
      <c r="C17" s="93" t="e">
        <f>100-Standard!E19</f>
        <v>#VALUE!</v>
      </c>
      <c r="D17" s="85" t="e">
        <f>IF('Production Data-Table'!E27="",#N/A,'Production Data-Table'!E27*100)</f>
        <v>#N/A</v>
      </c>
      <c r="E17" s="82" t="str">
        <f>Standard!D19</f>
        <v/>
      </c>
      <c r="F17" s="82" t="e">
        <f t="shared" ref="F17:S17" si="17">E17*$E$3</f>
        <v>#VALUE!</v>
      </c>
      <c r="G17" s="82" t="e">
        <f t="shared" si="17"/>
        <v>#VALUE!</v>
      </c>
      <c r="H17" s="82" t="e">
        <f t="shared" si="17"/>
        <v>#VALUE!</v>
      </c>
      <c r="I17" s="82" t="e">
        <f t="shared" si="17"/>
        <v>#VALUE!</v>
      </c>
      <c r="J17" s="82" t="e">
        <f t="shared" si="17"/>
        <v>#VALUE!</v>
      </c>
      <c r="K17" s="82" t="e">
        <f t="shared" si="17"/>
        <v>#VALUE!</v>
      </c>
      <c r="L17" s="82" t="e">
        <f t="shared" si="17"/>
        <v>#VALUE!</v>
      </c>
      <c r="M17" s="82" t="e">
        <f t="shared" si="17"/>
        <v>#VALUE!</v>
      </c>
      <c r="N17" s="82" t="e">
        <f t="shared" si="17"/>
        <v>#VALUE!</v>
      </c>
      <c r="O17" s="82" t="e">
        <f t="shared" si="17"/>
        <v>#VALUE!</v>
      </c>
      <c r="P17" s="82" t="e">
        <f t="shared" si="17"/>
        <v>#VALUE!</v>
      </c>
      <c r="Q17" s="82" t="e">
        <f t="shared" si="17"/>
        <v>#VALUE!</v>
      </c>
      <c r="R17" s="82" t="e">
        <f t="shared" si="17"/>
        <v>#VALUE!</v>
      </c>
      <c r="S17" s="82" t="e">
        <f t="shared" si="17"/>
        <v>#VALUE!</v>
      </c>
      <c r="T17" s="83" t="e">
        <f>IF('Production Data-Table'!H27="",#N/A,'Production Data-Table'!H27)</f>
        <v>#N/A</v>
      </c>
      <c r="U17" s="84" t="e">
        <f t="shared" si="3"/>
        <v>#VALUE!</v>
      </c>
      <c r="V17" s="84" t="e">
        <f t="shared" si="15"/>
        <v>#VALUE!</v>
      </c>
      <c r="W17" s="84" t="e">
        <f t="shared" si="15"/>
        <v>#VALUE!</v>
      </c>
      <c r="X17" s="84" t="e">
        <f t="shared" si="15"/>
        <v>#VALUE!</v>
      </c>
      <c r="Y17" s="84" t="e">
        <f t="shared" si="15"/>
        <v>#VALUE!</v>
      </c>
      <c r="Z17" s="84" t="e">
        <f t="shared" si="15"/>
        <v>#VALUE!</v>
      </c>
      <c r="AA17" s="84" t="e">
        <f t="shared" si="15"/>
        <v>#VALUE!</v>
      </c>
      <c r="AB17" s="84" t="str">
        <f>Standard!G19</f>
        <v/>
      </c>
      <c r="AC17" s="84" t="e">
        <f t="shared" si="16"/>
        <v>#VALUE!</v>
      </c>
      <c r="AD17" s="84" t="e">
        <f t="shared" si="16"/>
        <v>#VALUE!</v>
      </c>
      <c r="AE17" s="84" t="e">
        <f t="shared" si="16"/>
        <v>#VALUE!</v>
      </c>
      <c r="AF17" s="84" t="e">
        <f t="shared" si="16"/>
        <v>#VALUE!</v>
      </c>
      <c r="AG17" s="84" t="e">
        <f t="shared" si="16"/>
        <v>#VALUE!</v>
      </c>
      <c r="AH17" s="84" t="e">
        <f t="shared" si="16"/>
        <v>#VALUE!</v>
      </c>
      <c r="AI17" s="84" t="e">
        <f t="shared" si="16"/>
        <v>#VALUE!</v>
      </c>
      <c r="AJ17" s="84" t="e">
        <f>IF('Production Data-Table'!M27="",#N/A,'Production Data-Table'!M27)</f>
        <v>#N/A</v>
      </c>
      <c r="AK17" s="86" t="e">
        <f t="shared" si="4"/>
        <v>#VALUE!</v>
      </c>
      <c r="AL17" s="86" t="e">
        <f t="shared" si="5"/>
        <v>#N/A</v>
      </c>
      <c r="AM17" s="86" t="str">
        <f>Standard!B19</f>
        <v/>
      </c>
      <c r="AN17" s="87" t="e">
        <f>IF('Production Data-Table'!AH27&lt;&gt;"",'Production Data-Table'!AH27,#N/A)</f>
        <v>#N/A</v>
      </c>
      <c r="AO17" s="97" t="e">
        <f>IF('Production Data-Table'!AC28="",#N/A,'Production Data-Table'!AC26*100)</f>
        <v>#N/A</v>
      </c>
      <c r="AP17" s="97" t="e">
        <f>IF('Production Data-Table'!AE28&lt;&gt;"",'Production Data-Table'!AE26*100,#N/A)</f>
        <v>#N/A</v>
      </c>
      <c r="AQ17" s="97" t="e">
        <f>IF('Production Data-Table'!AG28&lt;&gt;"",'Production Data-Table'!AG26*100,#N/A)</f>
        <v>#N/A</v>
      </c>
      <c r="AR17" s="113" t="e">
        <f>Standard!H19/7</f>
        <v>#VALUE!</v>
      </c>
      <c r="AS17" s="113" t="e">
        <f>IF('Production Data-Table'!O26="",#N/A,'Production Data-Table'!O26/7)</f>
        <v>#N/A</v>
      </c>
      <c r="AT17" s="1" t="e">
        <f>IF('Production Data-Table'!G26&lt;&gt;"",'Production Data-Table'!S26,#N/A)</f>
        <v>#N/A</v>
      </c>
      <c r="AU17" s="1" t="e">
        <f>IF('Production Data-Table'!Z26&lt;&gt;"",'Production Data-Table'!Z26,#N/A)</f>
        <v>#N/A</v>
      </c>
    </row>
    <row r="18" spans="2:47" x14ac:dyDescent="0.2">
      <c r="B18" s="1">
        <v>30</v>
      </c>
      <c r="C18" s="93" t="e">
        <f>100-Standard!E20</f>
        <v>#VALUE!</v>
      </c>
      <c r="D18" s="85" t="e">
        <f>IF('Production Data-Table'!E28="",#N/A,'Production Data-Table'!E28*100)</f>
        <v>#N/A</v>
      </c>
      <c r="E18" s="82" t="str">
        <f>Standard!D20</f>
        <v/>
      </c>
      <c r="F18" s="82" t="e">
        <f t="shared" ref="F18:S18" si="18">E18*$E$3</f>
        <v>#VALUE!</v>
      </c>
      <c r="G18" s="82" t="e">
        <f t="shared" si="18"/>
        <v>#VALUE!</v>
      </c>
      <c r="H18" s="82" t="e">
        <f t="shared" si="18"/>
        <v>#VALUE!</v>
      </c>
      <c r="I18" s="82" t="e">
        <f t="shared" si="18"/>
        <v>#VALUE!</v>
      </c>
      <c r="J18" s="82" t="e">
        <f t="shared" si="18"/>
        <v>#VALUE!</v>
      </c>
      <c r="K18" s="82" t="e">
        <f t="shared" si="18"/>
        <v>#VALUE!</v>
      </c>
      <c r="L18" s="82" t="e">
        <f t="shared" si="18"/>
        <v>#VALUE!</v>
      </c>
      <c r="M18" s="82" t="e">
        <f t="shared" si="18"/>
        <v>#VALUE!</v>
      </c>
      <c r="N18" s="82" t="e">
        <f t="shared" si="18"/>
        <v>#VALUE!</v>
      </c>
      <c r="O18" s="82" t="e">
        <f t="shared" si="18"/>
        <v>#VALUE!</v>
      </c>
      <c r="P18" s="82" t="e">
        <f t="shared" si="18"/>
        <v>#VALUE!</v>
      </c>
      <c r="Q18" s="82" t="e">
        <f t="shared" si="18"/>
        <v>#VALUE!</v>
      </c>
      <c r="R18" s="82" t="e">
        <f t="shared" si="18"/>
        <v>#VALUE!</v>
      </c>
      <c r="S18" s="82" t="e">
        <f t="shared" si="18"/>
        <v>#VALUE!</v>
      </c>
      <c r="T18" s="83" t="e">
        <f>IF('Production Data-Table'!H28="",#N/A,'Production Data-Table'!H28)</f>
        <v>#N/A</v>
      </c>
      <c r="U18" s="84" t="e">
        <f t="shared" si="3"/>
        <v>#VALUE!</v>
      </c>
      <c r="V18" s="84" t="e">
        <f t="shared" si="15"/>
        <v>#VALUE!</v>
      </c>
      <c r="W18" s="84" t="e">
        <f t="shared" si="15"/>
        <v>#VALUE!</v>
      </c>
      <c r="X18" s="84" t="e">
        <f t="shared" si="15"/>
        <v>#VALUE!</v>
      </c>
      <c r="Y18" s="84" t="e">
        <f t="shared" si="15"/>
        <v>#VALUE!</v>
      </c>
      <c r="Z18" s="84" t="e">
        <f t="shared" si="15"/>
        <v>#VALUE!</v>
      </c>
      <c r="AA18" s="84" t="e">
        <f t="shared" si="15"/>
        <v>#VALUE!</v>
      </c>
      <c r="AB18" s="84" t="str">
        <f>Standard!G20</f>
        <v/>
      </c>
      <c r="AC18" s="84" t="e">
        <f t="shared" si="16"/>
        <v>#VALUE!</v>
      </c>
      <c r="AD18" s="84" t="e">
        <f t="shared" si="16"/>
        <v>#VALUE!</v>
      </c>
      <c r="AE18" s="84" t="e">
        <f t="shared" si="16"/>
        <v>#VALUE!</v>
      </c>
      <c r="AF18" s="84" t="e">
        <f t="shared" si="16"/>
        <v>#VALUE!</v>
      </c>
      <c r="AG18" s="84" t="e">
        <f t="shared" si="16"/>
        <v>#VALUE!</v>
      </c>
      <c r="AH18" s="84" t="e">
        <f t="shared" si="16"/>
        <v>#VALUE!</v>
      </c>
      <c r="AI18" s="84" t="e">
        <f t="shared" si="16"/>
        <v>#VALUE!</v>
      </c>
      <c r="AJ18" s="84" t="e">
        <f>IF('Production Data-Table'!M28="",#N/A,'Production Data-Table'!M28)</f>
        <v>#N/A</v>
      </c>
      <c r="AK18" s="86" t="e">
        <f t="shared" si="4"/>
        <v>#VALUE!</v>
      </c>
      <c r="AL18" s="86" t="e">
        <f t="shared" si="5"/>
        <v>#N/A</v>
      </c>
      <c r="AM18" s="86" t="str">
        <f>Standard!B20</f>
        <v/>
      </c>
      <c r="AN18" s="87" t="e">
        <f>IF('Production Data-Table'!AH28&lt;&gt;"",'Production Data-Table'!AH28,#N/A)</f>
        <v>#N/A</v>
      </c>
      <c r="AO18" s="97" t="e">
        <f>IF('Production Data-Table'!AC29="",#N/A,'Production Data-Table'!AC27*100)</f>
        <v>#N/A</v>
      </c>
      <c r="AP18" s="97" t="e">
        <f>IF('Production Data-Table'!AE29&lt;&gt;"",'Production Data-Table'!AE27*100,#N/A)</f>
        <v>#N/A</v>
      </c>
      <c r="AQ18" s="97" t="e">
        <f>IF('Production Data-Table'!AG29&lt;&gt;"",'Production Data-Table'!AG27*100,#N/A)</f>
        <v>#N/A</v>
      </c>
      <c r="AR18" s="113" t="e">
        <f>Standard!H20/7</f>
        <v>#VALUE!</v>
      </c>
      <c r="AS18" s="113" t="e">
        <f>IF('Production Data-Table'!O27="",#N/A,'Production Data-Table'!O27/7)</f>
        <v>#N/A</v>
      </c>
      <c r="AT18" s="1" t="e">
        <f>IF('Production Data-Table'!G27&lt;&gt;"",'Production Data-Table'!S27,#N/A)</f>
        <v>#N/A</v>
      </c>
      <c r="AU18" s="1" t="e">
        <f>IF('Production Data-Table'!Z27&lt;&gt;"",'Production Data-Table'!Z27,#N/A)</f>
        <v>#N/A</v>
      </c>
    </row>
    <row r="19" spans="2:47" x14ac:dyDescent="0.2">
      <c r="B19" s="1">
        <v>31</v>
      </c>
      <c r="C19" s="93" t="e">
        <f>100-Standard!E21</f>
        <v>#VALUE!</v>
      </c>
      <c r="D19" s="85" t="e">
        <f>IF('Production Data-Table'!E29="",#N/A,'Production Data-Table'!E29*100)</f>
        <v>#N/A</v>
      </c>
      <c r="E19" s="82" t="str">
        <f>Standard!D21</f>
        <v/>
      </c>
      <c r="F19" s="82" t="e">
        <f t="shared" ref="F19:S19" si="19">E19*$E$3</f>
        <v>#VALUE!</v>
      </c>
      <c r="G19" s="82" t="e">
        <f t="shared" si="19"/>
        <v>#VALUE!</v>
      </c>
      <c r="H19" s="82" t="e">
        <f t="shared" si="19"/>
        <v>#VALUE!</v>
      </c>
      <c r="I19" s="82" t="e">
        <f t="shared" si="19"/>
        <v>#VALUE!</v>
      </c>
      <c r="J19" s="82" t="e">
        <f t="shared" si="19"/>
        <v>#VALUE!</v>
      </c>
      <c r="K19" s="82" t="e">
        <f t="shared" si="19"/>
        <v>#VALUE!</v>
      </c>
      <c r="L19" s="82" t="e">
        <f t="shared" si="19"/>
        <v>#VALUE!</v>
      </c>
      <c r="M19" s="82" t="e">
        <f t="shared" si="19"/>
        <v>#VALUE!</v>
      </c>
      <c r="N19" s="82" t="e">
        <f t="shared" si="19"/>
        <v>#VALUE!</v>
      </c>
      <c r="O19" s="82" t="e">
        <f t="shared" si="19"/>
        <v>#VALUE!</v>
      </c>
      <c r="P19" s="82" t="e">
        <f t="shared" si="19"/>
        <v>#VALUE!</v>
      </c>
      <c r="Q19" s="82" t="e">
        <f t="shared" si="19"/>
        <v>#VALUE!</v>
      </c>
      <c r="R19" s="82" t="e">
        <f t="shared" si="19"/>
        <v>#VALUE!</v>
      </c>
      <c r="S19" s="82" t="e">
        <f t="shared" si="19"/>
        <v>#VALUE!</v>
      </c>
      <c r="T19" s="83" t="e">
        <f>IF('Production Data-Table'!H29="",#N/A,'Production Data-Table'!H29)</f>
        <v>#N/A</v>
      </c>
      <c r="U19" s="84" t="e">
        <f t="shared" si="3"/>
        <v>#VALUE!</v>
      </c>
      <c r="V19" s="84" t="e">
        <f t="shared" si="15"/>
        <v>#VALUE!</v>
      </c>
      <c r="W19" s="84" t="e">
        <f t="shared" si="15"/>
        <v>#VALUE!</v>
      </c>
      <c r="X19" s="84" t="e">
        <f t="shared" si="15"/>
        <v>#VALUE!</v>
      </c>
      <c r="Y19" s="84" t="e">
        <f t="shared" si="15"/>
        <v>#VALUE!</v>
      </c>
      <c r="Z19" s="84" t="e">
        <f t="shared" si="15"/>
        <v>#VALUE!</v>
      </c>
      <c r="AA19" s="84" t="e">
        <f t="shared" si="15"/>
        <v>#VALUE!</v>
      </c>
      <c r="AB19" s="84" t="str">
        <f>Standard!G21</f>
        <v/>
      </c>
      <c r="AC19" s="84" t="e">
        <f t="shared" si="16"/>
        <v>#VALUE!</v>
      </c>
      <c r="AD19" s="84" t="e">
        <f t="shared" si="16"/>
        <v>#VALUE!</v>
      </c>
      <c r="AE19" s="84" t="e">
        <f t="shared" si="16"/>
        <v>#VALUE!</v>
      </c>
      <c r="AF19" s="84" t="e">
        <f t="shared" si="16"/>
        <v>#VALUE!</v>
      </c>
      <c r="AG19" s="84" t="e">
        <f t="shared" si="16"/>
        <v>#VALUE!</v>
      </c>
      <c r="AH19" s="84" t="e">
        <f t="shared" si="16"/>
        <v>#VALUE!</v>
      </c>
      <c r="AI19" s="84" t="e">
        <f t="shared" si="16"/>
        <v>#VALUE!</v>
      </c>
      <c r="AJ19" s="84" t="e">
        <f>IF('Production Data-Table'!M29="",#N/A,'Production Data-Table'!M29)</f>
        <v>#N/A</v>
      </c>
      <c r="AK19" s="86" t="e">
        <f t="shared" si="4"/>
        <v>#VALUE!</v>
      </c>
      <c r="AL19" s="86" t="e">
        <f t="shared" si="5"/>
        <v>#N/A</v>
      </c>
      <c r="AM19" s="86" t="str">
        <f>Standard!B21</f>
        <v/>
      </c>
      <c r="AN19" s="87" t="e">
        <f>IF('Production Data-Table'!AH29&lt;&gt;"",'Production Data-Table'!AH29,#N/A)</f>
        <v>#N/A</v>
      </c>
      <c r="AO19" s="97" t="e">
        <f>IF('Production Data-Table'!AC30="",#N/A,'Production Data-Table'!AC28*100)</f>
        <v>#N/A</v>
      </c>
      <c r="AP19" s="97" t="e">
        <f>IF('Production Data-Table'!AE30&lt;&gt;"",'Production Data-Table'!AE28*100,#N/A)</f>
        <v>#N/A</v>
      </c>
      <c r="AQ19" s="97" t="e">
        <f>IF('Production Data-Table'!AG30&lt;&gt;"",'Production Data-Table'!AG28*100,#N/A)</f>
        <v>#N/A</v>
      </c>
      <c r="AR19" s="113" t="e">
        <f>Standard!H21/7</f>
        <v>#VALUE!</v>
      </c>
      <c r="AS19" s="113" t="e">
        <f>IF('Production Data-Table'!O28="",#N/A,'Production Data-Table'!O28/7)</f>
        <v>#N/A</v>
      </c>
      <c r="AT19" s="1" t="e">
        <f>IF('Production Data-Table'!G28&lt;&gt;"",'Production Data-Table'!S28,#N/A)</f>
        <v>#N/A</v>
      </c>
      <c r="AU19" s="1" t="e">
        <f>IF('Production Data-Table'!Z28&lt;&gt;"",'Production Data-Table'!Z28,#N/A)</f>
        <v>#N/A</v>
      </c>
    </row>
    <row r="20" spans="2:47" x14ac:dyDescent="0.2">
      <c r="B20" s="1">
        <v>32</v>
      </c>
      <c r="C20" s="93" t="e">
        <f>100-Standard!E22</f>
        <v>#VALUE!</v>
      </c>
      <c r="D20" s="85" t="e">
        <f>IF('Production Data-Table'!E30="",#N/A,'Production Data-Table'!E30*100)</f>
        <v>#N/A</v>
      </c>
      <c r="E20" s="82" t="str">
        <f>Standard!D22</f>
        <v/>
      </c>
      <c r="F20" s="82" t="e">
        <f t="shared" ref="F20:S20" si="20">E20*$E$3</f>
        <v>#VALUE!</v>
      </c>
      <c r="G20" s="82" t="e">
        <f t="shared" si="20"/>
        <v>#VALUE!</v>
      </c>
      <c r="H20" s="82" t="e">
        <f t="shared" si="20"/>
        <v>#VALUE!</v>
      </c>
      <c r="I20" s="82" t="e">
        <f t="shared" si="20"/>
        <v>#VALUE!</v>
      </c>
      <c r="J20" s="82" t="e">
        <f t="shared" si="20"/>
        <v>#VALUE!</v>
      </c>
      <c r="K20" s="82" t="e">
        <f t="shared" si="20"/>
        <v>#VALUE!</v>
      </c>
      <c r="L20" s="82" t="e">
        <f t="shared" si="20"/>
        <v>#VALUE!</v>
      </c>
      <c r="M20" s="82" t="e">
        <f t="shared" si="20"/>
        <v>#VALUE!</v>
      </c>
      <c r="N20" s="82" t="e">
        <f t="shared" si="20"/>
        <v>#VALUE!</v>
      </c>
      <c r="O20" s="82" t="e">
        <f t="shared" si="20"/>
        <v>#VALUE!</v>
      </c>
      <c r="P20" s="82" t="e">
        <f t="shared" si="20"/>
        <v>#VALUE!</v>
      </c>
      <c r="Q20" s="82" t="e">
        <f t="shared" si="20"/>
        <v>#VALUE!</v>
      </c>
      <c r="R20" s="82" t="e">
        <f t="shared" si="20"/>
        <v>#VALUE!</v>
      </c>
      <c r="S20" s="82" t="e">
        <f t="shared" si="20"/>
        <v>#VALUE!</v>
      </c>
      <c r="T20" s="83" t="e">
        <f>IF('Production Data-Table'!H30="",#N/A,'Production Data-Table'!H30)</f>
        <v>#N/A</v>
      </c>
      <c r="U20" s="84" t="e">
        <f t="shared" si="3"/>
        <v>#VALUE!</v>
      </c>
      <c r="V20" s="84" t="e">
        <f t="shared" si="15"/>
        <v>#VALUE!</v>
      </c>
      <c r="W20" s="84" t="e">
        <f t="shared" si="15"/>
        <v>#VALUE!</v>
      </c>
      <c r="X20" s="84" t="e">
        <f t="shared" si="15"/>
        <v>#VALUE!</v>
      </c>
      <c r="Y20" s="84" t="e">
        <f t="shared" si="15"/>
        <v>#VALUE!</v>
      </c>
      <c r="Z20" s="84" t="e">
        <f t="shared" si="15"/>
        <v>#VALUE!</v>
      </c>
      <c r="AA20" s="84" t="e">
        <f t="shared" si="15"/>
        <v>#VALUE!</v>
      </c>
      <c r="AB20" s="84" t="str">
        <f>Standard!G22</f>
        <v/>
      </c>
      <c r="AC20" s="84" t="e">
        <f t="shared" si="16"/>
        <v>#VALUE!</v>
      </c>
      <c r="AD20" s="84" t="e">
        <f t="shared" si="16"/>
        <v>#VALUE!</v>
      </c>
      <c r="AE20" s="84" t="e">
        <f t="shared" si="16"/>
        <v>#VALUE!</v>
      </c>
      <c r="AF20" s="84" t="e">
        <f t="shared" si="16"/>
        <v>#VALUE!</v>
      </c>
      <c r="AG20" s="84" t="e">
        <f t="shared" si="16"/>
        <v>#VALUE!</v>
      </c>
      <c r="AH20" s="84" t="e">
        <f t="shared" si="16"/>
        <v>#VALUE!</v>
      </c>
      <c r="AI20" s="84" t="e">
        <f t="shared" si="16"/>
        <v>#VALUE!</v>
      </c>
      <c r="AJ20" s="84" t="e">
        <f>IF('Production Data-Table'!M30="",#N/A,'Production Data-Table'!M30)</f>
        <v>#N/A</v>
      </c>
      <c r="AK20" s="86" t="e">
        <f t="shared" si="4"/>
        <v>#VALUE!</v>
      </c>
      <c r="AL20" s="86" t="e">
        <f t="shared" si="5"/>
        <v>#N/A</v>
      </c>
      <c r="AM20" s="86" t="str">
        <f>Standard!B22</f>
        <v/>
      </c>
      <c r="AN20" s="87" t="e">
        <f>IF('Production Data-Table'!AH30&lt;&gt;"",'Production Data-Table'!AH30,#N/A)</f>
        <v>#N/A</v>
      </c>
      <c r="AO20" s="97" t="e">
        <f>IF('Production Data-Table'!AC31="",#N/A,'Production Data-Table'!AC29*100)</f>
        <v>#N/A</v>
      </c>
      <c r="AP20" s="97" t="e">
        <f>IF('Production Data-Table'!AE31&lt;&gt;"",'Production Data-Table'!AE29*100,#N/A)</f>
        <v>#N/A</v>
      </c>
      <c r="AQ20" s="97" t="e">
        <f>IF('Production Data-Table'!AG31&lt;&gt;"",'Production Data-Table'!AG29*100,#N/A)</f>
        <v>#N/A</v>
      </c>
      <c r="AR20" s="113" t="e">
        <f>Standard!H22/7</f>
        <v>#VALUE!</v>
      </c>
      <c r="AS20" s="113" t="e">
        <f>IF('Production Data-Table'!O29="",#N/A,'Production Data-Table'!O29/7)</f>
        <v>#N/A</v>
      </c>
      <c r="AT20" s="1" t="e">
        <f>IF('Production Data-Table'!G29&lt;&gt;"",'Production Data-Table'!S29,#N/A)</f>
        <v>#N/A</v>
      </c>
      <c r="AU20" s="1" t="e">
        <f>IF('Production Data-Table'!Z29&lt;&gt;"",'Production Data-Table'!Z29,#N/A)</f>
        <v>#N/A</v>
      </c>
    </row>
    <row r="21" spans="2:47" x14ac:dyDescent="0.2">
      <c r="B21" s="1">
        <v>33</v>
      </c>
      <c r="C21" s="93" t="e">
        <f>100-Standard!E23</f>
        <v>#VALUE!</v>
      </c>
      <c r="D21" s="85" t="e">
        <f>IF('Production Data-Table'!E31="",#N/A,'Production Data-Table'!E31*100)</f>
        <v>#N/A</v>
      </c>
      <c r="E21" s="82" t="str">
        <f>Standard!D23</f>
        <v/>
      </c>
      <c r="F21" s="82" t="e">
        <f t="shared" ref="F21:S21" si="21">E21*$E$3</f>
        <v>#VALUE!</v>
      </c>
      <c r="G21" s="82" t="e">
        <f t="shared" si="21"/>
        <v>#VALUE!</v>
      </c>
      <c r="H21" s="82" t="e">
        <f t="shared" si="21"/>
        <v>#VALUE!</v>
      </c>
      <c r="I21" s="82" t="e">
        <f t="shared" si="21"/>
        <v>#VALUE!</v>
      </c>
      <c r="J21" s="82" t="e">
        <f t="shared" si="21"/>
        <v>#VALUE!</v>
      </c>
      <c r="K21" s="82" t="e">
        <f t="shared" si="21"/>
        <v>#VALUE!</v>
      </c>
      <c r="L21" s="82" t="e">
        <f t="shared" si="21"/>
        <v>#VALUE!</v>
      </c>
      <c r="M21" s="82" t="e">
        <f t="shared" si="21"/>
        <v>#VALUE!</v>
      </c>
      <c r="N21" s="82" t="e">
        <f t="shared" si="21"/>
        <v>#VALUE!</v>
      </c>
      <c r="O21" s="82" t="e">
        <f t="shared" si="21"/>
        <v>#VALUE!</v>
      </c>
      <c r="P21" s="82" t="e">
        <f t="shared" si="21"/>
        <v>#VALUE!</v>
      </c>
      <c r="Q21" s="82" t="e">
        <f t="shared" si="21"/>
        <v>#VALUE!</v>
      </c>
      <c r="R21" s="82" t="e">
        <f t="shared" si="21"/>
        <v>#VALUE!</v>
      </c>
      <c r="S21" s="82" t="e">
        <f t="shared" si="21"/>
        <v>#VALUE!</v>
      </c>
      <c r="T21" s="83" t="e">
        <f>IF('Production Data-Table'!H31="",#N/A,'Production Data-Table'!H31)</f>
        <v>#N/A</v>
      </c>
      <c r="U21" s="84" t="e">
        <f t="shared" si="3"/>
        <v>#VALUE!</v>
      </c>
      <c r="V21" s="84" t="e">
        <f t="shared" si="15"/>
        <v>#VALUE!</v>
      </c>
      <c r="W21" s="84" t="e">
        <f t="shared" si="15"/>
        <v>#VALUE!</v>
      </c>
      <c r="X21" s="84" t="e">
        <f t="shared" si="15"/>
        <v>#VALUE!</v>
      </c>
      <c r="Y21" s="84" t="e">
        <f t="shared" si="15"/>
        <v>#VALUE!</v>
      </c>
      <c r="Z21" s="84" t="e">
        <f t="shared" si="15"/>
        <v>#VALUE!</v>
      </c>
      <c r="AA21" s="84" t="e">
        <f t="shared" si="15"/>
        <v>#VALUE!</v>
      </c>
      <c r="AB21" s="84" t="str">
        <f>Standard!G23</f>
        <v/>
      </c>
      <c r="AC21" s="84" t="e">
        <f t="shared" si="16"/>
        <v>#VALUE!</v>
      </c>
      <c r="AD21" s="84" t="e">
        <f t="shared" si="16"/>
        <v>#VALUE!</v>
      </c>
      <c r="AE21" s="84" t="e">
        <f t="shared" si="16"/>
        <v>#VALUE!</v>
      </c>
      <c r="AF21" s="84" t="e">
        <f t="shared" si="16"/>
        <v>#VALUE!</v>
      </c>
      <c r="AG21" s="84" t="e">
        <f t="shared" si="16"/>
        <v>#VALUE!</v>
      </c>
      <c r="AH21" s="84" t="e">
        <f t="shared" si="16"/>
        <v>#VALUE!</v>
      </c>
      <c r="AI21" s="84" t="e">
        <f t="shared" si="16"/>
        <v>#VALUE!</v>
      </c>
      <c r="AJ21" s="84" t="e">
        <f>IF('Production Data-Table'!M31="",#N/A,'Production Data-Table'!M31)</f>
        <v>#N/A</v>
      </c>
      <c r="AK21" s="86" t="e">
        <f t="shared" si="4"/>
        <v>#VALUE!</v>
      </c>
      <c r="AL21" s="86" t="e">
        <f t="shared" si="5"/>
        <v>#N/A</v>
      </c>
      <c r="AM21" s="86" t="str">
        <f>Standard!B23</f>
        <v/>
      </c>
      <c r="AN21" s="87" t="e">
        <f>IF('Production Data-Table'!AH31&lt;&gt;"",'Production Data-Table'!AH31,#N/A)</f>
        <v>#N/A</v>
      </c>
      <c r="AO21" s="97" t="e">
        <f>IF('Production Data-Table'!AC32="",#N/A,'Production Data-Table'!AC30*100)</f>
        <v>#N/A</v>
      </c>
      <c r="AP21" s="97" t="e">
        <f>IF('Production Data-Table'!AE32&lt;&gt;"",'Production Data-Table'!AE30*100,#N/A)</f>
        <v>#N/A</v>
      </c>
      <c r="AQ21" s="97" t="e">
        <f>IF('Production Data-Table'!AG32&lt;&gt;"",'Production Data-Table'!AG30*100,#N/A)</f>
        <v>#N/A</v>
      </c>
      <c r="AR21" s="113" t="e">
        <f>Standard!H23/7</f>
        <v>#VALUE!</v>
      </c>
      <c r="AS21" s="113" t="e">
        <f>IF('Production Data-Table'!O30="",#N/A,'Production Data-Table'!O30/7)</f>
        <v>#N/A</v>
      </c>
      <c r="AT21" s="1" t="e">
        <f>IF('Production Data-Table'!G30&lt;&gt;"",'Production Data-Table'!S30,#N/A)</f>
        <v>#N/A</v>
      </c>
      <c r="AU21" s="1" t="e">
        <f>IF('Production Data-Table'!Z30&lt;&gt;"",'Production Data-Table'!Z30,#N/A)</f>
        <v>#N/A</v>
      </c>
    </row>
    <row r="22" spans="2:47" x14ac:dyDescent="0.2">
      <c r="B22" s="1">
        <v>34</v>
      </c>
      <c r="C22" s="93" t="e">
        <f>100-Standard!E24</f>
        <v>#VALUE!</v>
      </c>
      <c r="D22" s="85" t="e">
        <f>IF('Production Data-Table'!E32="",#N/A,'Production Data-Table'!E32*100)</f>
        <v>#N/A</v>
      </c>
      <c r="E22" s="82" t="str">
        <f>Standard!D24</f>
        <v/>
      </c>
      <c r="F22" s="82" t="e">
        <f t="shared" ref="F22:S22" si="22">E22*$E$3</f>
        <v>#VALUE!</v>
      </c>
      <c r="G22" s="82" t="e">
        <f t="shared" si="22"/>
        <v>#VALUE!</v>
      </c>
      <c r="H22" s="82" t="e">
        <f t="shared" si="22"/>
        <v>#VALUE!</v>
      </c>
      <c r="I22" s="82" t="e">
        <f t="shared" si="22"/>
        <v>#VALUE!</v>
      </c>
      <c r="J22" s="82" t="e">
        <f t="shared" si="22"/>
        <v>#VALUE!</v>
      </c>
      <c r="K22" s="82" t="e">
        <f t="shared" si="22"/>
        <v>#VALUE!</v>
      </c>
      <c r="L22" s="82" t="e">
        <f t="shared" si="22"/>
        <v>#VALUE!</v>
      </c>
      <c r="M22" s="82" t="e">
        <f t="shared" si="22"/>
        <v>#VALUE!</v>
      </c>
      <c r="N22" s="82" t="e">
        <f t="shared" si="22"/>
        <v>#VALUE!</v>
      </c>
      <c r="O22" s="82" t="e">
        <f t="shared" si="22"/>
        <v>#VALUE!</v>
      </c>
      <c r="P22" s="82" t="e">
        <f t="shared" si="22"/>
        <v>#VALUE!</v>
      </c>
      <c r="Q22" s="82" t="e">
        <f t="shared" si="22"/>
        <v>#VALUE!</v>
      </c>
      <c r="R22" s="82" t="e">
        <f t="shared" si="22"/>
        <v>#VALUE!</v>
      </c>
      <c r="S22" s="82" t="e">
        <f t="shared" si="22"/>
        <v>#VALUE!</v>
      </c>
      <c r="T22" s="83" t="e">
        <f>IF('Production Data-Table'!H32="",#N/A,'Production Data-Table'!H32)</f>
        <v>#N/A</v>
      </c>
      <c r="U22" s="84" t="e">
        <f t="shared" si="3"/>
        <v>#VALUE!</v>
      </c>
      <c r="V22" s="84" t="e">
        <f t="shared" si="15"/>
        <v>#VALUE!</v>
      </c>
      <c r="W22" s="84" t="e">
        <f t="shared" si="15"/>
        <v>#VALUE!</v>
      </c>
      <c r="X22" s="84" t="e">
        <f t="shared" si="15"/>
        <v>#VALUE!</v>
      </c>
      <c r="Y22" s="84" t="e">
        <f t="shared" si="15"/>
        <v>#VALUE!</v>
      </c>
      <c r="Z22" s="84" t="e">
        <f t="shared" si="15"/>
        <v>#VALUE!</v>
      </c>
      <c r="AA22" s="84" t="e">
        <f t="shared" si="15"/>
        <v>#VALUE!</v>
      </c>
      <c r="AB22" s="84" t="str">
        <f>Standard!G24</f>
        <v/>
      </c>
      <c r="AC22" s="84" t="e">
        <f t="shared" si="16"/>
        <v>#VALUE!</v>
      </c>
      <c r="AD22" s="84" t="e">
        <f t="shared" si="16"/>
        <v>#VALUE!</v>
      </c>
      <c r="AE22" s="84" t="e">
        <f t="shared" si="16"/>
        <v>#VALUE!</v>
      </c>
      <c r="AF22" s="84" t="e">
        <f t="shared" si="16"/>
        <v>#VALUE!</v>
      </c>
      <c r="AG22" s="84" t="e">
        <f t="shared" si="16"/>
        <v>#VALUE!</v>
      </c>
      <c r="AH22" s="84" t="e">
        <f t="shared" si="16"/>
        <v>#VALUE!</v>
      </c>
      <c r="AI22" s="84" t="e">
        <f t="shared" si="16"/>
        <v>#VALUE!</v>
      </c>
      <c r="AJ22" s="84" t="e">
        <f>IF('Production Data-Table'!M32="",#N/A,'Production Data-Table'!M32)</f>
        <v>#N/A</v>
      </c>
      <c r="AK22" s="86" t="e">
        <f t="shared" si="4"/>
        <v>#VALUE!</v>
      </c>
      <c r="AL22" s="86" t="e">
        <f t="shared" si="5"/>
        <v>#N/A</v>
      </c>
      <c r="AM22" s="86" t="str">
        <f>Standard!B24</f>
        <v/>
      </c>
      <c r="AN22" s="87" t="e">
        <f>IF('Production Data-Table'!AH32&lt;&gt;"",'Production Data-Table'!AH32,#N/A)</f>
        <v>#N/A</v>
      </c>
      <c r="AO22" s="97" t="e">
        <f>IF('Production Data-Table'!AC33="",#N/A,'Production Data-Table'!AC31*100)</f>
        <v>#N/A</v>
      </c>
      <c r="AP22" s="97" t="e">
        <f>IF('Production Data-Table'!AE33&lt;&gt;"",'Production Data-Table'!AE31*100,#N/A)</f>
        <v>#N/A</v>
      </c>
      <c r="AQ22" s="97" t="e">
        <f>IF('Production Data-Table'!AG33&lt;&gt;"",'Production Data-Table'!AG31*100,#N/A)</f>
        <v>#N/A</v>
      </c>
      <c r="AR22" s="113" t="e">
        <f>Standard!H24/7</f>
        <v>#VALUE!</v>
      </c>
      <c r="AS22" s="113" t="e">
        <f>IF('Production Data-Table'!O31="",#N/A,'Production Data-Table'!O31/7)</f>
        <v>#N/A</v>
      </c>
      <c r="AT22" s="1" t="e">
        <f>IF('Production Data-Table'!G31&lt;&gt;"",'Production Data-Table'!S31,#N/A)</f>
        <v>#N/A</v>
      </c>
      <c r="AU22" s="1" t="e">
        <f>IF('Production Data-Table'!Z31&lt;&gt;"",'Production Data-Table'!Z31,#N/A)</f>
        <v>#N/A</v>
      </c>
    </row>
    <row r="23" spans="2:47" x14ac:dyDescent="0.2">
      <c r="B23" s="1">
        <v>35</v>
      </c>
      <c r="C23" s="93" t="e">
        <f>100-Standard!E25</f>
        <v>#VALUE!</v>
      </c>
      <c r="D23" s="85" t="e">
        <f>IF('Production Data-Table'!E33="",#N/A,'Production Data-Table'!E33*100)</f>
        <v>#N/A</v>
      </c>
      <c r="E23" s="82" t="str">
        <f>Standard!D25</f>
        <v/>
      </c>
      <c r="F23" s="82" t="e">
        <f t="shared" ref="F23:S23" si="23">E23*$E$3</f>
        <v>#VALUE!</v>
      </c>
      <c r="G23" s="82" t="e">
        <f t="shared" si="23"/>
        <v>#VALUE!</v>
      </c>
      <c r="H23" s="82" t="e">
        <f t="shared" si="23"/>
        <v>#VALUE!</v>
      </c>
      <c r="I23" s="82" t="e">
        <f t="shared" si="23"/>
        <v>#VALUE!</v>
      </c>
      <c r="J23" s="82" t="e">
        <f t="shared" si="23"/>
        <v>#VALUE!</v>
      </c>
      <c r="K23" s="82" t="e">
        <f t="shared" si="23"/>
        <v>#VALUE!</v>
      </c>
      <c r="L23" s="82" t="e">
        <f t="shared" si="23"/>
        <v>#VALUE!</v>
      </c>
      <c r="M23" s="82" t="e">
        <f t="shared" si="23"/>
        <v>#VALUE!</v>
      </c>
      <c r="N23" s="82" t="e">
        <f t="shared" si="23"/>
        <v>#VALUE!</v>
      </c>
      <c r="O23" s="82" t="e">
        <f t="shared" si="23"/>
        <v>#VALUE!</v>
      </c>
      <c r="P23" s="82" t="e">
        <f t="shared" si="23"/>
        <v>#VALUE!</v>
      </c>
      <c r="Q23" s="82" t="e">
        <f t="shared" si="23"/>
        <v>#VALUE!</v>
      </c>
      <c r="R23" s="82" t="e">
        <f t="shared" si="23"/>
        <v>#VALUE!</v>
      </c>
      <c r="S23" s="82" t="e">
        <f t="shared" si="23"/>
        <v>#VALUE!</v>
      </c>
      <c r="T23" s="83" t="e">
        <f>IF('Production Data-Table'!H33="",#N/A,'Production Data-Table'!H33)</f>
        <v>#N/A</v>
      </c>
      <c r="U23" s="84" t="e">
        <f t="shared" si="3"/>
        <v>#VALUE!</v>
      </c>
      <c r="V23" s="84" t="e">
        <f t="shared" si="15"/>
        <v>#VALUE!</v>
      </c>
      <c r="W23" s="84" t="e">
        <f t="shared" si="15"/>
        <v>#VALUE!</v>
      </c>
      <c r="X23" s="84" t="e">
        <f t="shared" si="15"/>
        <v>#VALUE!</v>
      </c>
      <c r="Y23" s="84" t="e">
        <f t="shared" si="15"/>
        <v>#VALUE!</v>
      </c>
      <c r="Z23" s="84" t="e">
        <f t="shared" si="15"/>
        <v>#VALUE!</v>
      </c>
      <c r="AA23" s="84" t="e">
        <f t="shared" si="15"/>
        <v>#VALUE!</v>
      </c>
      <c r="AB23" s="84" t="str">
        <f>Standard!G25</f>
        <v/>
      </c>
      <c r="AC23" s="84" t="e">
        <f t="shared" si="16"/>
        <v>#VALUE!</v>
      </c>
      <c r="AD23" s="84" t="e">
        <f t="shared" si="16"/>
        <v>#VALUE!</v>
      </c>
      <c r="AE23" s="84" t="e">
        <f t="shared" si="16"/>
        <v>#VALUE!</v>
      </c>
      <c r="AF23" s="84" t="e">
        <f t="shared" si="16"/>
        <v>#VALUE!</v>
      </c>
      <c r="AG23" s="84" t="e">
        <f t="shared" si="16"/>
        <v>#VALUE!</v>
      </c>
      <c r="AH23" s="84" t="e">
        <f t="shared" si="16"/>
        <v>#VALUE!</v>
      </c>
      <c r="AI23" s="84" t="e">
        <f t="shared" si="16"/>
        <v>#VALUE!</v>
      </c>
      <c r="AJ23" s="84" t="e">
        <f>IF('Production Data-Table'!M33="",#N/A,'Production Data-Table'!M33)</f>
        <v>#N/A</v>
      </c>
      <c r="AK23" s="86" t="e">
        <f t="shared" si="4"/>
        <v>#VALUE!</v>
      </c>
      <c r="AL23" s="86" t="e">
        <f t="shared" si="5"/>
        <v>#N/A</v>
      </c>
      <c r="AM23" s="86" t="str">
        <f>Standard!B25</f>
        <v/>
      </c>
      <c r="AN23" s="87" t="e">
        <f>IF('Production Data-Table'!AH33&lt;&gt;"",'Production Data-Table'!AH33,#N/A)</f>
        <v>#N/A</v>
      </c>
      <c r="AO23" s="97" t="e">
        <f>IF('Production Data-Table'!AC34="",#N/A,'Production Data-Table'!AC32*100)</f>
        <v>#N/A</v>
      </c>
      <c r="AP23" s="97" t="e">
        <f>IF('Production Data-Table'!AE34&lt;&gt;"",'Production Data-Table'!AE32*100,#N/A)</f>
        <v>#N/A</v>
      </c>
      <c r="AQ23" s="97" t="e">
        <f>IF('Production Data-Table'!AG34&lt;&gt;"",'Production Data-Table'!AG32*100,#N/A)</f>
        <v>#N/A</v>
      </c>
      <c r="AR23" s="113" t="e">
        <f>Standard!H25/7</f>
        <v>#VALUE!</v>
      </c>
      <c r="AS23" s="113" t="e">
        <f>IF('Production Data-Table'!O32="",#N/A,'Production Data-Table'!O32/7)</f>
        <v>#N/A</v>
      </c>
      <c r="AT23" s="1" t="e">
        <f>IF('Production Data-Table'!G32&lt;&gt;"",'Production Data-Table'!S32,#N/A)</f>
        <v>#N/A</v>
      </c>
      <c r="AU23" s="1" t="e">
        <f>IF('Production Data-Table'!Z32&lt;&gt;"",'Production Data-Table'!Z32,#N/A)</f>
        <v>#N/A</v>
      </c>
    </row>
    <row r="24" spans="2:47" x14ac:dyDescent="0.2">
      <c r="B24" s="1">
        <v>36</v>
      </c>
      <c r="C24" s="93" t="e">
        <f>100-Standard!E26</f>
        <v>#VALUE!</v>
      </c>
      <c r="D24" s="85" t="e">
        <f>IF('Production Data-Table'!E34="",#N/A,'Production Data-Table'!E34*100)</f>
        <v>#N/A</v>
      </c>
      <c r="E24" s="82" t="str">
        <f>Standard!D26</f>
        <v/>
      </c>
      <c r="F24" s="82" t="e">
        <f t="shared" ref="F24:S24" si="24">E24*$E$3</f>
        <v>#VALUE!</v>
      </c>
      <c r="G24" s="82" t="e">
        <f t="shared" si="24"/>
        <v>#VALUE!</v>
      </c>
      <c r="H24" s="82" t="e">
        <f t="shared" si="24"/>
        <v>#VALUE!</v>
      </c>
      <c r="I24" s="82" t="e">
        <f t="shared" si="24"/>
        <v>#VALUE!</v>
      </c>
      <c r="J24" s="82" t="e">
        <f t="shared" si="24"/>
        <v>#VALUE!</v>
      </c>
      <c r="K24" s="82" t="e">
        <f t="shared" si="24"/>
        <v>#VALUE!</v>
      </c>
      <c r="L24" s="82" t="e">
        <f t="shared" si="24"/>
        <v>#VALUE!</v>
      </c>
      <c r="M24" s="82" t="e">
        <f t="shared" si="24"/>
        <v>#VALUE!</v>
      </c>
      <c r="N24" s="82" t="e">
        <f t="shared" si="24"/>
        <v>#VALUE!</v>
      </c>
      <c r="O24" s="82" t="e">
        <f t="shared" si="24"/>
        <v>#VALUE!</v>
      </c>
      <c r="P24" s="82" t="e">
        <f t="shared" si="24"/>
        <v>#VALUE!</v>
      </c>
      <c r="Q24" s="82" t="e">
        <f t="shared" si="24"/>
        <v>#VALUE!</v>
      </c>
      <c r="R24" s="82" t="e">
        <f t="shared" si="24"/>
        <v>#VALUE!</v>
      </c>
      <c r="S24" s="82" t="e">
        <f t="shared" si="24"/>
        <v>#VALUE!</v>
      </c>
      <c r="T24" s="83" t="e">
        <f>IF('Production Data-Table'!H34="",#N/A,'Production Data-Table'!H34)</f>
        <v>#N/A</v>
      </c>
      <c r="U24" s="84" t="e">
        <f t="shared" si="3"/>
        <v>#VALUE!</v>
      </c>
      <c r="V24" s="84" t="e">
        <f t="shared" si="15"/>
        <v>#VALUE!</v>
      </c>
      <c r="W24" s="84" t="e">
        <f t="shared" si="15"/>
        <v>#VALUE!</v>
      </c>
      <c r="X24" s="84" t="e">
        <f t="shared" si="15"/>
        <v>#VALUE!</v>
      </c>
      <c r="Y24" s="84" t="e">
        <f t="shared" si="15"/>
        <v>#VALUE!</v>
      </c>
      <c r="Z24" s="84" t="e">
        <f t="shared" si="15"/>
        <v>#VALUE!</v>
      </c>
      <c r="AA24" s="84" t="e">
        <f t="shared" si="15"/>
        <v>#VALUE!</v>
      </c>
      <c r="AB24" s="84" t="str">
        <f>Standard!G26</f>
        <v/>
      </c>
      <c r="AC24" s="84" t="e">
        <f t="shared" si="16"/>
        <v>#VALUE!</v>
      </c>
      <c r="AD24" s="84" t="e">
        <f t="shared" si="16"/>
        <v>#VALUE!</v>
      </c>
      <c r="AE24" s="84" t="e">
        <f t="shared" si="16"/>
        <v>#VALUE!</v>
      </c>
      <c r="AF24" s="84" t="e">
        <f t="shared" si="16"/>
        <v>#VALUE!</v>
      </c>
      <c r="AG24" s="84" t="e">
        <f t="shared" si="16"/>
        <v>#VALUE!</v>
      </c>
      <c r="AH24" s="84" t="e">
        <f t="shared" si="16"/>
        <v>#VALUE!</v>
      </c>
      <c r="AI24" s="84" t="e">
        <f t="shared" si="16"/>
        <v>#VALUE!</v>
      </c>
      <c r="AJ24" s="84" t="e">
        <f>IF('Production Data-Table'!M34="",#N/A,'Production Data-Table'!M34)</f>
        <v>#N/A</v>
      </c>
      <c r="AK24" s="86" t="e">
        <f t="shared" si="4"/>
        <v>#VALUE!</v>
      </c>
      <c r="AL24" s="86" t="e">
        <f t="shared" si="5"/>
        <v>#N/A</v>
      </c>
      <c r="AM24" s="86" t="str">
        <f>Standard!B26</f>
        <v/>
      </c>
      <c r="AN24" s="87" t="e">
        <f>IF('Production Data-Table'!AH34&lt;&gt;"",'Production Data-Table'!AH34,#N/A)</f>
        <v>#N/A</v>
      </c>
      <c r="AO24" s="97" t="e">
        <f>IF('Production Data-Table'!AC35="",#N/A,'Production Data-Table'!AC33*100)</f>
        <v>#N/A</v>
      </c>
      <c r="AP24" s="97" t="e">
        <f>IF('Production Data-Table'!AE35&lt;&gt;"",'Production Data-Table'!AE33*100,#N/A)</f>
        <v>#N/A</v>
      </c>
      <c r="AQ24" s="97" t="e">
        <f>IF('Production Data-Table'!AG35&lt;&gt;"",'Production Data-Table'!AG33*100,#N/A)</f>
        <v>#N/A</v>
      </c>
      <c r="AR24" s="113" t="e">
        <f>Standard!H26/7</f>
        <v>#VALUE!</v>
      </c>
      <c r="AS24" s="113" t="e">
        <f>IF('Production Data-Table'!O33="",#N/A,'Production Data-Table'!O33/7)</f>
        <v>#N/A</v>
      </c>
      <c r="AT24" s="1" t="e">
        <f>IF('Production Data-Table'!G33&lt;&gt;"",'Production Data-Table'!S33,#N/A)</f>
        <v>#N/A</v>
      </c>
      <c r="AU24" s="1" t="e">
        <f>IF('Production Data-Table'!Z33&lt;&gt;"",'Production Data-Table'!Z33,#N/A)</f>
        <v>#N/A</v>
      </c>
    </row>
    <row r="25" spans="2:47" x14ac:dyDescent="0.2">
      <c r="B25" s="1">
        <v>37</v>
      </c>
      <c r="C25" s="93" t="e">
        <f>100-Standard!E27</f>
        <v>#VALUE!</v>
      </c>
      <c r="D25" s="85" t="e">
        <f>IF('Production Data-Table'!E35="",#N/A,'Production Data-Table'!E35*100)</f>
        <v>#N/A</v>
      </c>
      <c r="E25" s="82" t="str">
        <f>Standard!D27</f>
        <v/>
      </c>
      <c r="F25" s="82" t="e">
        <f t="shared" ref="F25:S25" si="25">E25*$E$3</f>
        <v>#VALUE!</v>
      </c>
      <c r="G25" s="82" t="e">
        <f t="shared" si="25"/>
        <v>#VALUE!</v>
      </c>
      <c r="H25" s="82" t="e">
        <f t="shared" si="25"/>
        <v>#VALUE!</v>
      </c>
      <c r="I25" s="82" t="e">
        <f t="shared" si="25"/>
        <v>#VALUE!</v>
      </c>
      <c r="J25" s="82" t="e">
        <f t="shared" si="25"/>
        <v>#VALUE!</v>
      </c>
      <c r="K25" s="82" t="e">
        <f t="shared" si="25"/>
        <v>#VALUE!</v>
      </c>
      <c r="L25" s="82" t="e">
        <f t="shared" si="25"/>
        <v>#VALUE!</v>
      </c>
      <c r="M25" s="82" t="e">
        <f t="shared" si="25"/>
        <v>#VALUE!</v>
      </c>
      <c r="N25" s="82" t="e">
        <f t="shared" si="25"/>
        <v>#VALUE!</v>
      </c>
      <c r="O25" s="82" t="e">
        <f t="shared" si="25"/>
        <v>#VALUE!</v>
      </c>
      <c r="P25" s="82" t="e">
        <f t="shared" si="25"/>
        <v>#VALUE!</v>
      </c>
      <c r="Q25" s="82" t="e">
        <f t="shared" si="25"/>
        <v>#VALUE!</v>
      </c>
      <c r="R25" s="82" t="e">
        <f t="shared" si="25"/>
        <v>#VALUE!</v>
      </c>
      <c r="S25" s="82" t="e">
        <f t="shared" si="25"/>
        <v>#VALUE!</v>
      </c>
      <c r="T25" s="83" t="e">
        <f>IF('Production Data-Table'!H35="",#N/A,'Production Data-Table'!H35)</f>
        <v>#N/A</v>
      </c>
      <c r="U25" s="84" t="e">
        <f t="shared" si="3"/>
        <v>#VALUE!</v>
      </c>
      <c r="V25" s="84" t="e">
        <f t="shared" si="15"/>
        <v>#VALUE!</v>
      </c>
      <c r="W25" s="84" t="e">
        <f t="shared" si="15"/>
        <v>#VALUE!</v>
      </c>
      <c r="X25" s="84" t="e">
        <f t="shared" si="15"/>
        <v>#VALUE!</v>
      </c>
      <c r="Y25" s="84" t="e">
        <f t="shared" si="15"/>
        <v>#VALUE!</v>
      </c>
      <c r="Z25" s="84" t="e">
        <f t="shared" si="15"/>
        <v>#VALUE!</v>
      </c>
      <c r="AA25" s="84" t="e">
        <f t="shared" si="15"/>
        <v>#VALUE!</v>
      </c>
      <c r="AB25" s="84" t="str">
        <f>Standard!G27</f>
        <v/>
      </c>
      <c r="AC25" s="84" t="e">
        <f t="shared" si="16"/>
        <v>#VALUE!</v>
      </c>
      <c r="AD25" s="84" t="e">
        <f t="shared" si="16"/>
        <v>#VALUE!</v>
      </c>
      <c r="AE25" s="84" t="e">
        <f t="shared" si="16"/>
        <v>#VALUE!</v>
      </c>
      <c r="AF25" s="84" t="e">
        <f t="shared" si="16"/>
        <v>#VALUE!</v>
      </c>
      <c r="AG25" s="84" t="e">
        <f t="shared" si="16"/>
        <v>#VALUE!</v>
      </c>
      <c r="AH25" s="84" t="e">
        <f t="shared" si="16"/>
        <v>#VALUE!</v>
      </c>
      <c r="AI25" s="84" t="e">
        <f t="shared" si="16"/>
        <v>#VALUE!</v>
      </c>
      <c r="AJ25" s="84" t="e">
        <f>IF('Production Data-Table'!M35="",#N/A,'Production Data-Table'!M35)</f>
        <v>#N/A</v>
      </c>
      <c r="AK25" s="86" t="e">
        <f t="shared" si="4"/>
        <v>#VALUE!</v>
      </c>
      <c r="AL25" s="86" t="e">
        <f t="shared" si="5"/>
        <v>#N/A</v>
      </c>
      <c r="AM25" s="86" t="str">
        <f>Standard!B27</f>
        <v/>
      </c>
      <c r="AN25" s="87" t="e">
        <f>IF('Production Data-Table'!AH35&lt;&gt;"",'Production Data-Table'!AH35,#N/A)</f>
        <v>#N/A</v>
      </c>
      <c r="AO25" s="97" t="e">
        <f>IF('Production Data-Table'!AC36="",#N/A,'Production Data-Table'!AC34*100)</f>
        <v>#N/A</v>
      </c>
      <c r="AP25" s="97" t="e">
        <f>IF('Production Data-Table'!AE36&lt;&gt;"",'Production Data-Table'!AE34*100,#N/A)</f>
        <v>#N/A</v>
      </c>
      <c r="AQ25" s="97" t="e">
        <f>IF('Production Data-Table'!AG36&lt;&gt;"",'Production Data-Table'!AG34*100,#N/A)</f>
        <v>#N/A</v>
      </c>
      <c r="AR25" s="113" t="e">
        <f>Standard!H27/7</f>
        <v>#VALUE!</v>
      </c>
      <c r="AS25" s="113" t="e">
        <f>IF('Production Data-Table'!O34="",#N/A,'Production Data-Table'!O34/7)</f>
        <v>#N/A</v>
      </c>
      <c r="AT25" s="1" t="e">
        <f>IF('Production Data-Table'!G34&lt;&gt;"",'Production Data-Table'!S34,#N/A)</f>
        <v>#N/A</v>
      </c>
      <c r="AU25" s="1" t="e">
        <f>IF('Production Data-Table'!Z34&lt;&gt;"",'Production Data-Table'!Z34,#N/A)</f>
        <v>#N/A</v>
      </c>
    </row>
    <row r="26" spans="2:47" x14ac:dyDescent="0.2">
      <c r="B26" s="1">
        <v>38</v>
      </c>
      <c r="C26" s="93" t="e">
        <f>100-Standard!E28</f>
        <v>#VALUE!</v>
      </c>
      <c r="D26" s="85" t="e">
        <f>IF('Production Data-Table'!E36="",#N/A,'Production Data-Table'!E36*100)</f>
        <v>#N/A</v>
      </c>
      <c r="E26" s="82" t="str">
        <f>Standard!D28</f>
        <v/>
      </c>
      <c r="F26" s="82" t="e">
        <f t="shared" ref="F26:S26" si="26">E26*$E$3</f>
        <v>#VALUE!</v>
      </c>
      <c r="G26" s="82" t="e">
        <f t="shared" si="26"/>
        <v>#VALUE!</v>
      </c>
      <c r="H26" s="82" t="e">
        <f t="shared" si="26"/>
        <v>#VALUE!</v>
      </c>
      <c r="I26" s="82" t="e">
        <f t="shared" si="26"/>
        <v>#VALUE!</v>
      </c>
      <c r="J26" s="82" t="e">
        <f t="shared" si="26"/>
        <v>#VALUE!</v>
      </c>
      <c r="K26" s="82" t="e">
        <f t="shared" si="26"/>
        <v>#VALUE!</v>
      </c>
      <c r="L26" s="82" t="e">
        <f t="shared" si="26"/>
        <v>#VALUE!</v>
      </c>
      <c r="M26" s="82" t="e">
        <f t="shared" si="26"/>
        <v>#VALUE!</v>
      </c>
      <c r="N26" s="82" t="e">
        <f t="shared" si="26"/>
        <v>#VALUE!</v>
      </c>
      <c r="O26" s="82" t="e">
        <f t="shared" si="26"/>
        <v>#VALUE!</v>
      </c>
      <c r="P26" s="82" t="e">
        <f t="shared" si="26"/>
        <v>#VALUE!</v>
      </c>
      <c r="Q26" s="82" t="e">
        <f t="shared" si="26"/>
        <v>#VALUE!</v>
      </c>
      <c r="R26" s="82" t="e">
        <f t="shared" si="26"/>
        <v>#VALUE!</v>
      </c>
      <c r="S26" s="82" t="e">
        <f t="shared" si="26"/>
        <v>#VALUE!</v>
      </c>
      <c r="T26" s="83" t="e">
        <f>IF('Production Data-Table'!H36="",#N/A,'Production Data-Table'!H36)</f>
        <v>#N/A</v>
      </c>
      <c r="U26" s="84" t="e">
        <f t="shared" si="3"/>
        <v>#VALUE!</v>
      </c>
      <c r="V26" s="84" t="e">
        <f t="shared" ref="V26:AA35" si="27">W26*$V$3</f>
        <v>#VALUE!</v>
      </c>
      <c r="W26" s="84" t="e">
        <f t="shared" si="27"/>
        <v>#VALUE!</v>
      </c>
      <c r="X26" s="84" t="e">
        <f t="shared" si="27"/>
        <v>#VALUE!</v>
      </c>
      <c r="Y26" s="84" t="e">
        <f t="shared" si="27"/>
        <v>#VALUE!</v>
      </c>
      <c r="Z26" s="84" t="e">
        <f t="shared" si="27"/>
        <v>#VALUE!</v>
      </c>
      <c r="AA26" s="84" t="e">
        <f t="shared" si="27"/>
        <v>#VALUE!</v>
      </c>
      <c r="AB26" s="84" t="str">
        <f>Standard!G28</f>
        <v/>
      </c>
      <c r="AC26" s="84" t="e">
        <f t="shared" ref="AC26:AI35" si="28">AB26*$U$3</f>
        <v>#VALUE!</v>
      </c>
      <c r="AD26" s="84" t="e">
        <f t="shared" si="28"/>
        <v>#VALUE!</v>
      </c>
      <c r="AE26" s="84" t="e">
        <f t="shared" si="28"/>
        <v>#VALUE!</v>
      </c>
      <c r="AF26" s="84" t="e">
        <f t="shared" si="28"/>
        <v>#VALUE!</v>
      </c>
      <c r="AG26" s="84" t="e">
        <f t="shared" si="28"/>
        <v>#VALUE!</v>
      </c>
      <c r="AH26" s="84" t="e">
        <f t="shared" si="28"/>
        <v>#VALUE!</v>
      </c>
      <c r="AI26" s="84" t="e">
        <f t="shared" si="28"/>
        <v>#VALUE!</v>
      </c>
      <c r="AJ26" s="84" t="e">
        <f>IF('Production Data-Table'!M36="",#N/A,'Production Data-Table'!M36)</f>
        <v>#N/A</v>
      </c>
      <c r="AK26" s="86" t="e">
        <f t="shared" si="4"/>
        <v>#VALUE!</v>
      </c>
      <c r="AL26" s="86" t="e">
        <f t="shared" si="5"/>
        <v>#N/A</v>
      </c>
      <c r="AM26" s="86" t="str">
        <f>Standard!B28</f>
        <v/>
      </c>
      <c r="AN26" s="87" t="e">
        <f>IF('Production Data-Table'!AH36&lt;&gt;"",'Production Data-Table'!AH36,#N/A)</f>
        <v>#N/A</v>
      </c>
      <c r="AO26" s="97" t="e">
        <f>IF('Production Data-Table'!AC37="",#N/A,'Production Data-Table'!AC35*100)</f>
        <v>#N/A</v>
      </c>
      <c r="AP26" s="97" t="e">
        <f>IF('Production Data-Table'!AE37&lt;&gt;"",'Production Data-Table'!AE35*100,#N/A)</f>
        <v>#N/A</v>
      </c>
      <c r="AQ26" s="97" t="e">
        <f>IF('Production Data-Table'!AG37&lt;&gt;"",'Production Data-Table'!AG35*100,#N/A)</f>
        <v>#N/A</v>
      </c>
      <c r="AR26" s="113" t="e">
        <f>Standard!H28/7</f>
        <v>#VALUE!</v>
      </c>
      <c r="AS26" s="113" t="e">
        <f>IF('Production Data-Table'!O35="",#N/A,'Production Data-Table'!O35/7)</f>
        <v>#N/A</v>
      </c>
      <c r="AT26" s="1" t="e">
        <f>IF('Production Data-Table'!G35&lt;&gt;"",'Production Data-Table'!S35,#N/A)</f>
        <v>#N/A</v>
      </c>
      <c r="AU26" s="1" t="e">
        <f>IF('Production Data-Table'!Z35&lt;&gt;"",'Production Data-Table'!Z35,#N/A)</f>
        <v>#N/A</v>
      </c>
    </row>
    <row r="27" spans="2:47" x14ac:dyDescent="0.2">
      <c r="B27" s="1">
        <v>39</v>
      </c>
      <c r="C27" s="93" t="e">
        <f>100-Standard!E29</f>
        <v>#VALUE!</v>
      </c>
      <c r="D27" s="85" t="e">
        <f>IF('Production Data-Table'!E37="",#N/A,'Production Data-Table'!E37*100)</f>
        <v>#N/A</v>
      </c>
      <c r="E27" s="82" t="str">
        <f>Standard!D29</f>
        <v/>
      </c>
      <c r="F27" s="82" t="e">
        <f t="shared" ref="F27:S27" si="29">E27*$E$3</f>
        <v>#VALUE!</v>
      </c>
      <c r="G27" s="82" t="e">
        <f t="shared" si="29"/>
        <v>#VALUE!</v>
      </c>
      <c r="H27" s="82" t="e">
        <f t="shared" si="29"/>
        <v>#VALUE!</v>
      </c>
      <c r="I27" s="82" t="e">
        <f t="shared" si="29"/>
        <v>#VALUE!</v>
      </c>
      <c r="J27" s="82" t="e">
        <f t="shared" si="29"/>
        <v>#VALUE!</v>
      </c>
      <c r="K27" s="82" t="e">
        <f t="shared" si="29"/>
        <v>#VALUE!</v>
      </c>
      <c r="L27" s="82" t="e">
        <f t="shared" si="29"/>
        <v>#VALUE!</v>
      </c>
      <c r="M27" s="82" t="e">
        <f t="shared" si="29"/>
        <v>#VALUE!</v>
      </c>
      <c r="N27" s="82" t="e">
        <f t="shared" si="29"/>
        <v>#VALUE!</v>
      </c>
      <c r="O27" s="82" t="e">
        <f t="shared" si="29"/>
        <v>#VALUE!</v>
      </c>
      <c r="P27" s="82" t="e">
        <f t="shared" si="29"/>
        <v>#VALUE!</v>
      </c>
      <c r="Q27" s="82" t="e">
        <f t="shared" si="29"/>
        <v>#VALUE!</v>
      </c>
      <c r="R27" s="82" t="e">
        <f t="shared" si="29"/>
        <v>#VALUE!</v>
      </c>
      <c r="S27" s="82" t="e">
        <f t="shared" si="29"/>
        <v>#VALUE!</v>
      </c>
      <c r="T27" s="83" t="e">
        <f>IF('Production Data-Table'!H37="",#N/A,'Production Data-Table'!H37)</f>
        <v>#N/A</v>
      </c>
      <c r="U27" s="84" t="e">
        <f t="shared" si="3"/>
        <v>#VALUE!</v>
      </c>
      <c r="V27" s="84" t="e">
        <f t="shared" si="27"/>
        <v>#VALUE!</v>
      </c>
      <c r="W27" s="84" t="e">
        <f t="shared" si="27"/>
        <v>#VALUE!</v>
      </c>
      <c r="X27" s="84" t="e">
        <f t="shared" si="27"/>
        <v>#VALUE!</v>
      </c>
      <c r="Y27" s="84" t="e">
        <f t="shared" si="27"/>
        <v>#VALUE!</v>
      </c>
      <c r="Z27" s="84" t="e">
        <f t="shared" si="27"/>
        <v>#VALUE!</v>
      </c>
      <c r="AA27" s="84" t="e">
        <f t="shared" si="27"/>
        <v>#VALUE!</v>
      </c>
      <c r="AB27" s="84" t="str">
        <f>Standard!G29</f>
        <v/>
      </c>
      <c r="AC27" s="84" t="e">
        <f t="shared" si="28"/>
        <v>#VALUE!</v>
      </c>
      <c r="AD27" s="84" t="e">
        <f t="shared" si="28"/>
        <v>#VALUE!</v>
      </c>
      <c r="AE27" s="84" t="e">
        <f t="shared" si="28"/>
        <v>#VALUE!</v>
      </c>
      <c r="AF27" s="84" t="e">
        <f t="shared" si="28"/>
        <v>#VALUE!</v>
      </c>
      <c r="AG27" s="84" t="e">
        <f t="shared" si="28"/>
        <v>#VALUE!</v>
      </c>
      <c r="AH27" s="84" t="e">
        <f t="shared" si="28"/>
        <v>#VALUE!</v>
      </c>
      <c r="AI27" s="84" t="e">
        <f t="shared" si="28"/>
        <v>#VALUE!</v>
      </c>
      <c r="AJ27" s="84" t="e">
        <f>IF('Production Data-Table'!M37="",#N/A,'Production Data-Table'!M37)</f>
        <v>#N/A</v>
      </c>
      <c r="AK27" s="86" t="e">
        <f t="shared" si="4"/>
        <v>#VALUE!</v>
      </c>
      <c r="AL27" s="86" t="e">
        <f t="shared" si="5"/>
        <v>#N/A</v>
      </c>
      <c r="AM27" s="86" t="str">
        <f>Standard!B29</f>
        <v/>
      </c>
      <c r="AN27" s="87" t="e">
        <f>IF('Production Data-Table'!AH37&lt;&gt;"",'Production Data-Table'!AH37,#N/A)</f>
        <v>#N/A</v>
      </c>
      <c r="AO27" s="97" t="e">
        <f>IF('Production Data-Table'!AC38="",#N/A,'Production Data-Table'!AC36*100)</f>
        <v>#N/A</v>
      </c>
      <c r="AP27" s="97" t="e">
        <f>IF('Production Data-Table'!AE38&lt;&gt;"",'Production Data-Table'!AE36*100,#N/A)</f>
        <v>#N/A</v>
      </c>
      <c r="AQ27" s="97" t="e">
        <f>IF('Production Data-Table'!AG38&lt;&gt;"",'Production Data-Table'!AG36*100,#N/A)</f>
        <v>#N/A</v>
      </c>
      <c r="AR27" s="113" t="e">
        <f>Standard!H29/7</f>
        <v>#VALUE!</v>
      </c>
      <c r="AS27" s="113" t="e">
        <f>IF('Production Data-Table'!O36="",#N/A,'Production Data-Table'!O36/7)</f>
        <v>#N/A</v>
      </c>
      <c r="AT27" s="1" t="e">
        <f>IF('Production Data-Table'!G36&lt;&gt;"",'Production Data-Table'!S36,#N/A)</f>
        <v>#N/A</v>
      </c>
      <c r="AU27" s="1" t="e">
        <f>IF('Production Data-Table'!Z36&lt;&gt;"",'Production Data-Table'!Z36,#N/A)</f>
        <v>#N/A</v>
      </c>
    </row>
    <row r="28" spans="2:47" x14ac:dyDescent="0.2">
      <c r="B28" s="1">
        <v>40</v>
      </c>
      <c r="C28" s="93" t="e">
        <f>100-Standard!E30</f>
        <v>#VALUE!</v>
      </c>
      <c r="D28" s="85" t="e">
        <f>IF('Production Data-Table'!E38="",#N/A,'Production Data-Table'!E38*100)</f>
        <v>#N/A</v>
      </c>
      <c r="E28" s="82" t="str">
        <f>Standard!D30</f>
        <v/>
      </c>
      <c r="F28" s="82" t="e">
        <f t="shared" ref="F28:S28" si="30">E28*$E$3</f>
        <v>#VALUE!</v>
      </c>
      <c r="G28" s="82" t="e">
        <f t="shared" si="30"/>
        <v>#VALUE!</v>
      </c>
      <c r="H28" s="82" t="e">
        <f t="shared" si="30"/>
        <v>#VALUE!</v>
      </c>
      <c r="I28" s="82" t="e">
        <f t="shared" si="30"/>
        <v>#VALUE!</v>
      </c>
      <c r="J28" s="82" t="e">
        <f t="shared" si="30"/>
        <v>#VALUE!</v>
      </c>
      <c r="K28" s="82" t="e">
        <f t="shared" si="30"/>
        <v>#VALUE!</v>
      </c>
      <c r="L28" s="82" t="e">
        <f t="shared" si="30"/>
        <v>#VALUE!</v>
      </c>
      <c r="M28" s="82" t="e">
        <f t="shared" si="30"/>
        <v>#VALUE!</v>
      </c>
      <c r="N28" s="82" t="e">
        <f t="shared" si="30"/>
        <v>#VALUE!</v>
      </c>
      <c r="O28" s="82" t="e">
        <f t="shared" si="30"/>
        <v>#VALUE!</v>
      </c>
      <c r="P28" s="82" t="e">
        <f t="shared" si="30"/>
        <v>#VALUE!</v>
      </c>
      <c r="Q28" s="82" t="e">
        <f t="shared" si="30"/>
        <v>#VALUE!</v>
      </c>
      <c r="R28" s="82" t="e">
        <f t="shared" si="30"/>
        <v>#VALUE!</v>
      </c>
      <c r="S28" s="82" t="e">
        <f t="shared" si="30"/>
        <v>#VALUE!</v>
      </c>
      <c r="T28" s="83" t="e">
        <f>IF('Production Data-Table'!H38="",#N/A,'Production Data-Table'!H38)</f>
        <v>#N/A</v>
      </c>
      <c r="U28" s="84" t="e">
        <f t="shared" si="3"/>
        <v>#VALUE!</v>
      </c>
      <c r="V28" s="84" t="e">
        <f t="shared" si="27"/>
        <v>#VALUE!</v>
      </c>
      <c r="W28" s="84" t="e">
        <f t="shared" si="27"/>
        <v>#VALUE!</v>
      </c>
      <c r="X28" s="84" t="e">
        <f t="shared" si="27"/>
        <v>#VALUE!</v>
      </c>
      <c r="Y28" s="84" t="e">
        <f t="shared" si="27"/>
        <v>#VALUE!</v>
      </c>
      <c r="Z28" s="84" t="e">
        <f t="shared" si="27"/>
        <v>#VALUE!</v>
      </c>
      <c r="AA28" s="84" t="e">
        <f t="shared" si="27"/>
        <v>#VALUE!</v>
      </c>
      <c r="AB28" s="84" t="str">
        <f>Standard!G30</f>
        <v/>
      </c>
      <c r="AC28" s="84" t="e">
        <f t="shared" si="28"/>
        <v>#VALUE!</v>
      </c>
      <c r="AD28" s="84" t="e">
        <f t="shared" si="28"/>
        <v>#VALUE!</v>
      </c>
      <c r="AE28" s="84" t="e">
        <f t="shared" si="28"/>
        <v>#VALUE!</v>
      </c>
      <c r="AF28" s="84" t="e">
        <f t="shared" si="28"/>
        <v>#VALUE!</v>
      </c>
      <c r="AG28" s="84" t="e">
        <f t="shared" si="28"/>
        <v>#VALUE!</v>
      </c>
      <c r="AH28" s="84" t="e">
        <f t="shared" si="28"/>
        <v>#VALUE!</v>
      </c>
      <c r="AI28" s="84" t="e">
        <f t="shared" si="28"/>
        <v>#VALUE!</v>
      </c>
      <c r="AJ28" s="84" t="e">
        <f>IF('Production Data-Table'!M38="",#N/A,'Production Data-Table'!M38)</f>
        <v>#N/A</v>
      </c>
      <c r="AK28" s="86" t="e">
        <f t="shared" si="4"/>
        <v>#VALUE!</v>
      </c>
      <c r="AL28" s="86" t="e">
        <f t="shared" si="5"/>
        <v>#N/A</v>
      </c>
      <c r="AM28" s="86" t="str">
        <f>Standard!B30</f>
        <v/>
      </c>
      <c r="AN28" s="87" t="e">
        <f>IF('Production Data-Table'!AH38&lt;&gt;"",'Production Data-Table'!AH38,#N/A)</f>
        <v>#N/A</v>
      </c>
      <c r="AO28" s="97" t="e">
        <f>IF('Production Data-Table'!AC39="",#N/A,'Production Data-Table'!AC37*100)</f>
        <v>#N/A</v>
      </c>
      <c r="AP28" s="97" t="e">
        <f>IF('Production Data-Table'!AE39&lt;&gt;"",'Production Data-Table'!AE37*100,#N/A)</f>
        <v>#N/A</v>
      </c>
      <c r="AQ28" s="97" t="e">
        <f>IF('Production Data-Table'!AG39&lt;&gt;"",'Production Data-Table'!AG37*100,#N/A)</f>
        <v>#N/A</v>
      </c>
      <c r="AR28" s="113" t="e">
        <f>Standard!H30/7</f>
        <v>#VALUE!</v>
      </c>
      <c r="AS28" s="113" t="e">
        <f>IF('Production Data-Table'!O37="",#N/A,'Production Data-Table'!O37/7)</f>
        <v>#N/A</v>
      </c>
      <c r="AT28" s="1" t="e">
        <f>IF('Production Data-Table'!G37&lt;&gt;"",'Production Data-Table'!S37,#N/A)</f>
        <v>#N/A</v>
      </c>
      <c r="AU28" s="1" t="e">
        <f>IF('Production Data-Table'!Z37&lt;&gt;"",'Production Data-Table'!Z37,#N/A)</f>
        <v>#N/A</v>
      </c>
    </row>
    <row r="29" spans="2:47" x14ac:dyDescent="0.2">
      <c r="B29" s="1">
        <v>41</v>
      </c>
      <c r="C29" s="93" t="e">
        <f>100-Standard!E31</f>
        <v>#VALUE!</v>
      </c>
      <c r="D29" s="85" t="e">
        <f>IF('Production Data-Table'!E39="",#N/A,'Production Data-Table'!E39*100)</f>
        <v>#N/A</v>
      </c>
      <c r="E29" s="82" t="str">
        <f>Standard!D31</f>
        <v/>
      </c>
      <c r="F29" s="82" t="e">
        <f t="shared" ref="F29:S29" si="31">E29*$E$3</f>
        <v>#VALUE!</v>
      </c>
      <c r="G29" s="82" t="e">
        <f t="shared" si="31"/>
        <v>#VALUE!</v>
      </c>
      <c r="H29" s="82" t="e">
        <f t="shared" si="31"/>
        <v>#VALUE!</v>
      </c>
      <c r="I29" s="82" t="e">
        <f t="shared" si="31"/>
        <v>#VALUE!</v>
      </c>
      <c r="J29" s="82" t="e">
        <f t="shared" si="31"/>
        <v>#VALUE!</v>
      </c>
      <c r="K29" s="82" t="e">
        <f t="shared" si="31"/>
        <v>#VALUE!</v>
      </c>
      <c r="L29" s="82" t="e">
        <f t="shared" si="31"/>
        <v>#VALUE!</v>
      </c>
      <c r="M29" s="82" t="e">
        <f t="shared" si="31"/>
        <v>#VALUE!</v>
      </c>
      <c r="N29" s="82" t="e">
        <f t="shared" si="31"/>
        <v>#VALUE!</v>
      </c>
      <c r="O29" s="82" t="e">
        <f t="shared" si="31"/>
        <v>#VALUE!</v>
      </c>
      <c r="P29" s="82" t="e">
        <f t="shared" si="31"/>
        <v>#VALUE!</v>
      </c>
      <c r="Q29" s="82" t="e">
        <f t="shared" si="31"/>
        <v>#VALUE!</v>
      </c>
      <c r="R29" s="82" t="e">
        <f t="shared" si="31"/>
        <v>#VALUE!</v>
      </c>
      <c r="S29" s="82" t="e">
        <f t="shared" si="31"/>
        <v>#VALUE!</v>
      </c>
      <c r="T29" s="83" t="e">
        <f>IF('Production Data-Table'!H39="",#N/A,'Production Data-Table'!H39)</f>
        <v>#N/A</v>
      </c>
      <c r="U29" s="84" t="e">
        <f t="shared" si="3"/>
        <v>#VALUE!</v>
      </c>
      <c r="V29" s="84" t="e">
        <f t="shared" si="27"/>
        <v>#VALUE!</v>
      </c>
      <c r="W29" s="84" t="e">
        <f t="shared" si="27"/>
        <v>#VALUE!</v>
      </c>
      <c r="X29" s="84" t="e">
        <f t="shared" si="27"/>
        <v>#VALUE!</v>
      </c>
      <c r="Y29" s="84" t="e">
        <f t="shared" si="27"/>
        <v>#VALUE!</v>
      </c>
      <c r="Z29" s="84" t="e">
        <f t="shared" si="27"/>
        <v>#VALUE!</v>
      </c>
      <c r="AA29" s="84" t="e">
        <f t="shared" si="27"/>
        <v>#VALUE!</v>
      </c>
      <c r="AB29" s="84" t="str">
        <f>Standard!G31</f>
        <v/>
      </c>
      <c r="AC29" s="84" t="e">
        <f t="shared" si="28"/>
        <v>#VALUE!</v>
      </c>
      <c r="AD29" s="84" t="e">
        <f t="shared" si="28"/>
        <v>#VALUE!</v>
      </c>
      <c r="AE29" s="84" t="e">
        <f t="shared" si="28"/>
        <v>#VALUE!</v>
      </c>
      <c r="AF29" s="84" t="e">
        <f t="shared" si="28"/>
        <v>#VALUE!</v>
      </c>
      <c r="AG29" s="84" t="e">
        <f t="shared" si="28"/>
        <v>#VALUE!</v>
      </c>
      <c r="AH29" s="84" t="e">
        <f t="shared" si="28"/>
        <v>#VALUE!</v>
      </c>
      <c r="AI29" s="84" t="e">
        <f t="shared" si="28"/>
        <v>#VALUE!</v>
      </c>
      <c r="AJ29" s="84" t="e">
        <f>IF('Production Data-Table'!M39="",#N/A,'Production Data-Table'!M39)</f>
        <v>#N/A</v>
      </c>
      <c r="AK29" s="86" t="e">
        <f t="shared" si="4"/>
        <v>#VALUE!</v>
      </c>
      <c r="AL29" s="86" t="e">
        <f t="shared" si="5"/>
        <v>#N/A</v>
      </c>
      <c r="AM29" s="86" t="str">
        <f>Standard!B31</f>
        <v/>
      </c>
      <c r="AN29" s="87" t="e">
        <f>IF('Production Data-Table'!AH39&lt;&gt;"",'Production Data-Table'!AH39,#N/A)</f>
        <v>#N/A</v>
      </c>
      <c r="AO29" s="97" t="e">
        <f>IF('Production Data-Table'!AC40="",#N/A,'Production Data-Table'!AC38*100)</f>
        <v>#N/A</v>
      </c>
      <c r="AP29" s="97" t="e">
        <f>IF('Production Data-Table'!AE40&lt;&gt;"",'Production Data-Table'!AE38*100,#N/A)</f>
        <v>#N/A</v>
      </c>
      <c r="AQ29" s="97" t="e">
        <f>IF('Production Data-Table'!AG40&lt;&gt;"",'Production Data-Table'!AG38*100,#N/A)</f>
        <v>#N/A</v>
      </c>
      <c r="AR29" s="113" t="e">
        <f>Standard!H31/7</f>
        <v>#VALUE!</v>
      </c>
      <c r="AS29" s="113" t="e">
        <f>IF('Production Data-Table'!O38="",#N/A,'Production Data-Table'!O38/7)</f>
        <v>#N/A</v>
      </c>
      <c r="AT29" s="1" t="e">
        <f>IF('Production Data-Table'!G38&lt;&gt;"",'Production Data-Table'!S38,#N/A)</f>
        <v>#N/A</v>
      </c>
      <c r="AU29" s="1" t="e">
        <f>IF('Production Data-Table'!Z38&lt;&gt;"",'Production Data-Table'!Z38,#N/A)</f>
        <v>#N/A</v>
      </c>
    </row>
    <row r="30" spans="2:47" x14ac:dyDescent="0.2">
      <c r="B30" s="1">
        <v>42</v>
      </c>
      <c r="C30" s="93" t="e">
        <f>100-Standard!E32</f>
        <v>#VALUE!</v>
      </c>
      <c r="D30" s="85" t="e">
        <f>IF('Production Data-Table'!E40="",#N/A,'Production Data-Table'!E40*100)</f>
        <v>#N/A</v>
      </c>
      <c r="E30" s="82" t="str">
        <f>Standard!D32</f>
        <v/>
      </c>
      <c r="F30" s="82" t="e">
        <f t="shared" ref="F30:S30" si="32">E30*$E$3</f>
        <v>#VALUE!</v>
      </c>
      <c r="G30" s="82" t="e">
        <f t="shared" si="32"/>
        <v>#VALUE!</v>
      </c>
      <c r="H30" s="82" t="e">
        <f t="shared" si="32"/>
        <v>#VALUE!</v>
      </c>
      <c r="I30" s="82" t="e">
        <f t="shared" si="32"/>
        <v>#VALUE!</v>
      </c>
      <c r="J30" s="82" t="e">
        <f t="shared" si="32"/>
        <v>#VALUE!</v>
      </c>
      <c r="K30" s="82" t="e">
        <f t="shared" si="32"/>
        <v>#VALUE!</v>
      </c>
      <c r="L30" s="82" t="e">
        <f t="shared" si="32"/>
        <v>#VALUE!</v>
      </c>
      <c r="M30" s="82" t="e">
        <f t="shared" si="32"/>
        <v>#VALUE!</v>
      </c>
      <c r="N30" s="82" t="e">
        <f t="shared" si="32"/>
        <v>#VALUE!</v>
      </c>
      <c r="O30" s="82" t="e">
        <f t="shared" si="32"/>
        <v>#VALUE!</v>
      </c>
      <c r="P30" s="82" t="e">
        <f t="shared" si="32"/>
        <v>#VALUE!</v>
      </c>
      <c r="Q30" s="82" t="e">
        <f t="shared" si="32"/>
        <v>#VALUE!</v>
      </c>
      <c r="R30" s="82" t="e">
        <f t="shared" si="32"/>
        <v>#VALUE!</v>
      </c>
      <c r="S30" s="82" t="e">
        <f t="shared" si="32"/>
        <v>#VALUE!</v>
      </c>
      <c r="T30" s="83" t="e">
        <f>IF('Production Data-Table'!H40="",#N/A,'Production Data-Table'!H40)</f>
        <v>#N/A</v>
      </c>
      <c r="U30" s="84" t="e">
        <f t="shared" si="3"/>
        <v>#VALUE!</v>
      </c>
      <c r="V30" s="84" t="e">
        <f t="shared" si="27"/>
        <v>#VALUE!</v>
      </c>
      <c r="W30" s="84" t="e">
        <f t="shared" si="27"/>
        <v>#VALUE!</v>
      </c>
      <c r="X30" s="84" t="e">
        <f t="shared" si="27"/>
        <v>#VALUE!</v>
      </c>
      <c r="Y30" s="84" t="e">
        <f t="shared" si="27"/>
        <v>#VALUE!</v>
      </c>
      <c r="Z30" s="84" t="e">
        <f t="shared" si="27"/>
        <v>#VALUE!</v>
      </c>
      <c r="AA30" s="84" t="e">
        <f t="shared" si="27"/>
        <v>#VALUE!</v>
      </c>
      <c r="AB30" s="84" t="str">
        <f>Standard!G32</f>
        <v/>
      </c>
      <c r="AC30" s="84" t="e">
        <f t="shared" si="28"/>
        <v>#VALUE!</v>
      </c>
      <c r="AD30" s="84" t="e">
        <f t="shared" si="28"/>
        <v>#VALUE!</v>
      </c>
      <c r="AE30" s="84" t="e">
        <f t="shared" si="28"/>
        <v>#VALUE!</v>
      </c>
      <c r="AF30" s="84" t="e">
        <f t="shared" si="28"/>
        <v>#VALUE!</v>
      </c>
      <c r="AG30" s="84" t="e">
        <f t="shared" si="28"/>
        <v>#VALUE!</v>
      </c>
      <c r="AH30" s="84" t="e">
        <f t="shared" si="28"/>
        <v>#VALUE!</v>
      </c>
      <c r="AI30" s="84" t="e">
        <f t="shared" si="28"/>
        <v>#VALUE!</v>
      </c>
      <c r="AJ30" s="84" t="e">
        <f>IF('Production Data-Table'!M40="",#N/A,'Production Data-Table'!M40)</f>
        <v>#N/A</v>
      </c>
      <c r="AK30" s="86" t="e">
        <f t="shared" si="4"/>
        <v>#VALUE!</v>
      </c>
      <c r="AL30" s="86" t="e">
        <f t="shared" si="5"/>
        <v>#N/A</v>
      </c>
      <c r="AM30" s="86" t="str">
        <f>Standard!B32</f>
        <v/>
      </c>
      <c r="AN30" s="87" t="e">
        <f>IF('Production Data-Table'!AH40&lt;&gt;"",'Production Data-Table'!AH40,#N/A)</f>
        <v>#N/A</v>
      </c>
      <c r="AO30" s="97" t="e">
        <f>IF('Production Data-Table'!AC41="",#N/A,'Production Data-Table'!AC39*100)</f>
        <v>#N/A</v>
      </c>
      <c r="AP30" s="97" t="e">
        <f>IF('Production Data-Table'!AE41&lt;&gt;"",'Production Data-Table'!AE39*100,#N/A)</f>
        <v>#N/A</v>
      </c>
      <c r="AQ30" s="97" t="e">
        <f>IF('Production Data-Table'!AG41&lt;&gt;"",'Production Data-Table'!AG39*100,#N/A)</f>
        <v>#N/A</v>
      </c>
      <c r="AR30" s="113" t="e">
        <f>Standard!H32/7</f>
        <v>#VALUE!</v>
      </c>
      <c r="AS30" s="113" t="e">
        <f>IF('Production Data-Table'!O39="",#N/A,'Production Data-Table'!O39/7)</f>
        <v>#N/A</v>
      </c>
      <c r="AT30" s="1" t="e">
        <f>IF('Production Data-Table'!G39&lt;&gt;"",'Production Data-Table'!S39,#N/A)</f>
        <v>#N/A</v>
      </c>
      <c r="AU30" s="1" t="e">
        <f>IF('Production Data-Table'!Z39&lt;&gt;"",'Production Data-Table'!Z39,#N/A)</f>
        <v>#N/A</v>
      </c>
    </row>
    <row r="31" spans="2:47" x14ac:dyDescent="0.2">
      <c r="B31" s="1">
        <v>43</v>
      </c>
      <c r="C31" s="93" t="e">
        <f>100-Standard!E33</f>
        <v>#VALUE!</v>
      </c>
      <c r="D31" s="85" t="e">
        <f>IF('Production Data-Table'!E41="",#N/A,'Production Data-Table'!E41*100)</f>
        <v>#N/A</v>
      </c>
      <c r="E31" s="82" t="str">
        <f>Standard!D33</f>
        <v/>
      </c>
      <c r="F31" s="82" t="e">
        <f t="shared" ref="F31:S31" si="33">E31*$E$3</f>
        <v>#VALUE!</v>
      </c>
      <c r="G31" s="82" t="e">
        <f t="shared" si="33"/>
        <v>#VALUE!</v>
      </c>
      <c r="H31" s="82" t="e">
        <f t="shared" si="33"/>
        <v>#VALUE!</v>
      </c>
      <c r="I31" s="82" t="e">
        <f t="shared" si="33"/>
        <v>#VALUE!</v>
      </c>
      <c r="J31" s="82" t="e">
        <f t="shared" si="33"/>
        <v>#VALUE!</v>
      </c>
      <c r="K31" s="82" t="e">
        <f t="shared" si="33"/>
        <v>#VALUE!</v>
      </c>
      <c r="L31" s="82" t="e">
        <f t="shared" si="33"/>
        <v>#VALUE!</v>
      </c>
      <c r="M31" s="82" t="e">
        <f t="shared" si="33"/>
        <v>#VALUE!</v>
      </c>
      <c r="N31" s="82" t="e">
        <f t="shared" si="33"/>
        <v>#VALUE!</v>
      </c>
      <c r="O31" s="82" t="e">
        <f t="shared" si="33"/>
        <v>#VALUE!</v>
      </c>
      <c r="P31" s="82" t="e">
        <f t="shared" si="33"/>
        <v>#VALUE!</v>
      </c>
      <c r="Q31" s="82" t="e">
        <f t="shared" si="33"/>
        <v>#VALUE!</v>
      </c>
      <c r="R31" s="82" t="e">
        <f t="shared" si="33"/>
        <v>#VALUE!</v>
      </c>
      <c r="S31" s="82" t="e">
        <f t="shared" si="33"/>
        <v>#VALUE!</v>
      </c>
      <c r="T31" s="83" t="e">
        <f>IF('Production Data-Table'!H41="",#N/A,'Production Data-Table'!H41)</f>
        <v>#N/A</v>
      </c>
      <c r="U31" s="84" t="e">
        <f t="shared" si="3"/>
        <v>#VALUE!</v>
      </c>
      <c r="V31" s="84" t="e">
        <f t="shared" si="27"/>
        <v>#VALUE!</v>
      </c>
      <c r="W31" s="84" t="e">
        <f t="shared" si="27"/>
        <v>#VALUE!</v>
      </c>
      <c r="X31" s="84" t="e">
        <f t="shared" si="27"/>
        <v>#VALUE!</v>
      </c>
      <c r="Y31" s="84" t="e">
        <f t="shared" si="27"/>
        <v>#VALUE!</v>
      </c>
      <c r="Z31" s="84" t="e">
        <f t="shared" si="27"/>
        <v>#VALUE!</v>
      </c>
      <c r="AA31" s="84" t="e">
        <f t="shared" si="27"/>
        <v>#VALUE!</v>
      </c>
      <c r="AB31" s="84" t="str">
        <f>Standard!G33</f>
        <v/>
      </c>
      <c r="AC31" s="84" t="e">
        <f t="shared" si="28"/>
        <v>#VALUE!</v>
      </c>
      <c r="AD31" s="84" t="e">
        <f t="shared" si="28"/>
        <v>#VALUE!</v>
      </c>
      <c r="AE31" s="84" t="e">
        <f t="shared" si="28"/>
        <v>#VALUE!</v>
      </c>
      <c r="AF31" s="84" t="e">
        <f t="shared" si="28"/>
        <v>#VALUE!</v>
      </c>
      <c r="AG31" s="84" t="e">
        <f t="shared" si="28"/>
        <v>#VALUE!</v>
      </c>
      <c r="AH31" s="84" t="e">
        <f t="shared" si="28"/>
        <v>#VALUE!</v>
      </c>
      <c r="AI31" s="84" t="e">
        <f t="shared" si="28"/>
        <v>#VALUE!</v>
      </c>
      <c r="AJ31" s="84" t="e">
        <f>IF('Production Data-Table'!M41="",#N/A,'Production Data-Table'!M41)</f>
        <v>#N/A</v>
      </c>
      <c r="AK31" s="86" t="e">
        <f t="shared" si="4"/>
        <v>#VALUE!</v>
      </c>
      <c r="AL31" s="86" t="e">
        <f t="shared" si="5"/>
        <v>#N/A</v>
      </c>
      <c r="AM31" s="86" t="str">
        <f>Standard!B33</f>
        <v/>
      </c>
      <c r="AN31" s="87" t="e">
        <f>IF('Production Data-Table'!AH41&lt;&gt;"",'Production Data-Table'!AH41,#N/A)</f>
        <v>#N/A</v>
      </c>
      <c r="AO31" s="97" t="e">
        <f>IF('Production Data-Table'!AC42="",#N/A,'Production Data-Table'!AC40*100)</f>
        <v>#N/A</v>
      </c>
      <c r="AP31" s="97" t="e">
        <f>IF('Production Data-Table'!AE42&lt;&gt;"",'Production Data-Table'!AE40*100,#N/A)</f>
        <v>#N/A</v>
      </c>
      <c r="AQ31" s="97" t="e">
        <f>IF('Production Data-Table'!AG42&lt;&gt;"",'Production Data-Table'!AG40*100,#N/A)</f>
        <v>#N/A</v>
      </c>
      <c r="AR31" s="113" t="e">
        <f>Standard!H33/7</f>
        <v>#VALUE!</v>
      </c>
      <c r="AS31" s="113" t="e">
        <f>IF('Production Data-Table'!O40="",#N/A,'Production Data-Table'!O40/7)</f>
        <v>#N/A</v>
      </c>
      <c r="AT31" s="1" t="e">
        <f>IF('Production Data-Table'!G40&lt;&gt;"",'Production Data-Table'!S40,#N/A)</f>
        <v>#N/A</v>
      </c>
      <c r="AU31" s="1" t="e">
        <f>IF('Production Data-Table'!Z40&lt;&gt;"",'Production Data-Table'!Z40,#N/A)</f>
        <v>#N/A</v>
      </c>
    </row>
    <row r="32" spans="2:47" x14ac:dyDescent="0.2">
      <c r="B32" s="1">
        <v>44</v>
      </c>
      <c r="C32" s="93" t="e">
        <f>100-Standard!E34</f>
        <v>#VALUE!</v>
      </c>
      <c r="D32" s="85" t="e">
        <f>IF('Production Data-Table'!E42="",#N/A,'Production Data-Table'!E42*100)</f>
        <v>#N/A</v>
      </c>
      <c r="E32" s="82" t="str">
        <f>Standard!D34</f>
        <v/>
      </c>
      <c r="F32" s="82" t="e">
        <f t="shared" ref="F32:S32" si="34">E32*$E$3</f>
        <v>#VALUE!</v>
      </c>
      <c r="G32" s="82" t="e">
        <f t="shared" si="34"/>
        <v>#VALUE!</v>
      </c>
      <c r="H32" s="82" t="e">
        <f t="shared" si="34"/>
        <v>#VALUE!</v>
      </c>
      <c r="I32" s="82" t="e">
        <f t="shared" si="34"/>
        <v>#VALUE!</v>
      </c>
      <c r="J32" s="82" t="e">
        <f t="shared" si="34"/>
        <v>#VALUE!</v>
      </c>
      <c r="K32" s="82" t="e">
        <f t="shared" si="34"/>
        <v>#VALUE!</v>
      </c>
      <c r="L32" s="82" t="e">
        <f t="shared" si="34"/>
        <v>#VALUE!</v>
      </c>
      <c r="M32" s="82" t="e">
        <f t="shared" si="34"/>
        <v>#VALUE!</v>
      </c>
      <c r="N32" s="82" t="e">
        <f t="shared" si="34"/>
        <v>#VALUE!</v>
      </c>
      <c r="O32" s="82" t="e">
        <f t="shared" si="34"/>
        <v>#VALUE!</v>
      </c>
      <c r="P32" s="82" t="e">
        <f t="shared" si="34"/>
        <v>#VALUE!</v>
      </c>
      <c r="Q32" s="82" t="e">
        <f t="shared" si="34"/>
        <v>#VALUE!</v>
      </c>
      <c r="R32" s="82" t="e">
        <f t="shared" si="34"/>
        <v>#VALUE!</v>
      </c>
      <c r="S32" s="82" t="e">
        <f t="shared" si="34"/>
        <v>#VALUE!</v>
      </c>
      <c r="T32" s="83" t="e">
        <f>IF('Production Data-Table'!H42="",#N/A,'Production Data-Table'!H42)</f>
        <v>#N/A</v>
      </c>
      <c r="U32" s="84" t="e">
        <f t="shared" si="3"/>
        <v>#VALUE!</v>
      </c>
      <c r="V32" s="84" t="e">
        <f t="shared" si="27"/>
        <v>#VALUE!</v>
      </c>
      <c r="W32" s="84" t="e">
        <f t="shared" si="27"/>
        <v>#VALUE!</v>
      </c>
      <c r="X32" s="84" t="e">
        <f t="shared" si="27"/>
        <v>#VALUE!</v>
      </c>
      <c r="Y32" s="84" t="e">
        <f t="shared" si="27"/>
        <v>#VALUE!</v>
      </c>
      <c r="Z32" s="84" t="e">
        <f t="shared" si="27"/>
        <v>#VALUE!</v>
      </c>
      <c r="AA32" s="84" t="e">
        <f t="shared" si="27"/>
        <v>#VALUE!</v>
      </c>
      <c r="AB32" s="84" t="str">
        <f>Standard!G34</f>
        <v/>
      </c>
      <c r="AC32" s="84" t="e">
        <f t="shared" si="28"/>
        <v>#VALUE!</v>
      </c>
      <c r="AD32" s="84" t="e">
        <f t="shared" si="28"/>
        <v>#VALUE!</v>
      </c>
      <c r="AE32" s="84" t="e">
        <f t="shared" si="28"/>
        <v>#VALUE!</v>
      </c>
      <c r="AF32" s="84" t="e">
        <f t="shared" si="28"/>
        <v>#VALUE!</v>
      </c>
      <c r="AG32" s="84" t="e">
        <f t="shared" si="28"/>
        <v>#VALUE!</v>
      </c>
      <c r="AH32" s="84" t="e">
        <f t="shared" si="28"/>
        <v>#VALUE!</v>
      </c>
      <c r="AI32" s="84" t="e">
        <f t="shared" si="28"/>
        <v>#VALUE!</v>
      </c>
      <c r="AJ32" s="84" t="e">
        <f>IF('Production Data-Table'!M42="",#N/A,'Production Data-Table'!M42)</f>
        <v>#N/A</v>
      </c>
      <c r="AK32" s="86" t="e">
        <f t="shared" si="4"/>
        <v>#VALUE!</v>
      </c>
      <c r="AL32" s="86" t="e">
        <f t="shared" si="5"/>
        <v>#N/A</v>
      </c>
      <c r="AM32" s="86" t="str">
        <f>Standard!B34</f>
        <v/>
      </c>
      <c r="AN32" s="87" t="e">
        <f>IF('Production Data-Table'!AH42&lt;&gt;"",'Production Data-Table'!AH42,#N/A)</f>
        <v>#N/A</v>
      </c>
      <c r="AO32" s="97" t="e">
        <f>IF('Production Data-Table'!AC43="",#N/A,'Production Data-Table'!AC41*100)</f>
        <v>#N/A</v>
      </c>
      <c r="AP32" s="97" t="e">
        <f>IF('Production Data-Table'!AE43&lt;&gt;"",'Production Data-Table'!AE41*100,#N/A)</f>
        <v>#N/A</v>
      </c>
      <c r="AQ32" s="97" t="e">
        <f>IF('Production Data-Table'!AG43&lt;&gt;"",'Production Data-Table'!AG41*100,#N/A)</f>
        <v>#N/A</v>
      </c>
      <c r="AR32" s="113" t="e">
        <f>Standard!H34/7</f>
        <v>#VALUE!</v>
      </c>
      <c r="AS32" s="113" t="e">
        <f>IF('Production Data-Table'!O41="",#N/A,'Production Data-Table'!O41/7)</f>
        <v>#N/A</v>
      </c>
      <c r="AT32" s="1" t="e">
        <f>IF('Production Data-Table'!G41&lt;&gt;"",'Production Data-Table'!S41,#N/A)</f>
        <v>#N/A</v>
      </c>
      <c r="AU32" s="1" t="e">
        <f>IF('Production Data-Table'!Z41&lt;&gt;"",'Production Data-Table'!Z41,#N/A)</f>
        <v>#N/A</v>
      </c>
    </row>
    <row r="33" spans="2:47" x14ac:dyDescent="0.2">
      <c r="B33" s="1">
        <v>45</v>
      </c>
      <c r="C33" s="93" t="e">
        <f>100-Standard!E35</f>
        <v>#VALUE!</v>
      </c>
      <c r="D33" s="85" t="e">
        <f>IF('Production Data-Table'!E43="",#N/A,'Production Data-Table'!E43*100)</f>
        <v>#N/A</v>
      </c>
      <c r="E33" s="82" t="str">
        <f>Standard!D35</f>
        <v/>
      </c>
      <c r="F33" s="82" t="e">
        <f t="shared" ref="F33:S33" si="35">E33*$E$3</f>
        <v>#VALUE!</v>
      </c>
      <c r="G33" s="82" t="e">
        <f t="shared" si="35"/>
        <v>#VALUE!</v>
      </c>
      <c r="H33" s="82" t="e">
        <f t="shared" si="35"/>
        <v>#VALUE!</v>
      </c>
      <c r="I33" s="82" t="e">
        <f t="shared" si="35"/>
        <v>#VALUE!</v>
      </c>
      <c r="J33" s="82" t="e">
        <f t="shared" si="35"/>
        <v>#VALUE!</v>
      </c>
      <c r="K33" s="82" t="e">
        <f t="shared" si="35"/>
        <v>#VALUE!</v>
      </c>
      <c r="L33" s="82" t="e">
        <f t="shared" si="35"/>
        <v>#VALUE!</v>
      </c>
      <c r="M33" s="82" t="e">
        <f t="shared" si="35"/>
        <v>#VALUE!</v>
      </c>
      <c r="N33" s="82" t="e">
        <f t="shared" si="35"/>
        <v>#VALUE!</v>
      </c>
      <c r="O33" s="82" t="e">
        <f t="shared" si="35"/>
        <v>#VALUE!</v>
      </c>
      <c r="P33" s="82" t="e">
        <f t="shared" si="35"/>
        <v>#VALUE!</v>
      </c>
      <c r="Q33" s="82" t="e">
        <f t="shared" si="35"/>
        <v>#VALUE!</v>
      </c>
      <c r="R33" s="82" t="e">
        <f t="shared" si="35"/>
        <v>#VALUE!</v>
      </c>
      <c r="S33" s="82" t="e">
        <f t="shared" si="35"/>
        <v>#VALUE!</v>
      </c>
      <c r="T33" s="83" t="e">
        <f>IF('Production Data-Table'!H43="",#N/A,'Production Data-Table'!H43)</f>
        <v>#N/A</v>
      </c>
      <c r="U33" s="84" t="e">
        <f t="shared" si="3"/>
        <v>#VALUE!</v>
      </c>
      <c r="V33" s="84" t="e">
        <f t="shared" si="27"/>
        <v>#VALUE!</v>
      </c>
      <c r="W33" s="84" t="e">
        <f t="shared" si="27"/>
        <v>#VALUE!</v>
      </c>
      <c r="X33" s="84" t="e">
        <f t="shared" si="27"/>
        <v>#VALUE!</v>
      </c>
      <c r="Y33" s="84" t="e">
        <f t="shared" si="27"/>
        <v>#VALUE!</v>
      </c>
      <c r="Z33" s="84" t="e">
        <f t="shared" si="27"/>
        <v>#VALUE!</v>
      </c>
      <c r="AA33" s="84" t="e">
        <f t="shared" si="27"/>
        <v>#VALUE!</v>
      </c>
      <c r="AB33" s="84" t="str">
        <f>Standard!G35</f>
        <v/>
      </c>
      <c r="AC33" s="84" t="e">
        <f t="shared" si="28"/>
        <v>#VALUE!</v>
      </c>
      <c r="AD33" s="84" t="e">
        <f t="shared" si="28"/>
        <v>#VALUE!</v>
      </c>
      <c r="AE33" s="84" t="e">
        <f t="shared" si="28"/>
        <v>#VALUE!</v>
      </c>
      <c r="AF33" s="84" t="e">
        <f t="shared" si="28"/>
        <v>#VALUE!</v>
      </c>
      <c r="AG33" s="84" t="e">
        <f t="shared" si="28"/>
        <v>#VALUE!</v>
      </c>
      <c r="AH33" s="84" t="e">
        <f t="shared" si="28"/>
        <v>#VALUE!</v>
      </c>
      <c r="AI33" s="84" t="e">
        <f t="shared" si="28"/>
        <v>#VALUE!</v>
      </c>
      <c r="AJ33" s="84" t="e">
        <f>IF('Production Data-Table'!M43="",#N/A,'Production Data-Table'!M43)</f>
        <v>#N/A</v>
      </c>
      <c r="AK33" s="86" t="e">
        <f t="shared" si="4"/>
        <v>#VALUE!</v>
      </c>
      <c r="AL33" s="86" t="e">
        <f t="shared" si="5"/>
        <v>#N/A</v>
      </c>
      <c r="AM33" s="86" t="str">
        <f>Standard!B35</f>
        <v/>
      </c>
      <c r="AN33" s="87" t="e">
        <f>IF('Production Data-Table'!AH43&lt;&gt;"",'Production Data-Table'!AH43,#N/A)</f>
        <v>#N/A</v>
      </c>
      <c r="AO33" s="97" t="e">
        <f>IF('Production Data-Table'!AC44="",#N/A,'Production Data-Table'!AC42*100)</f>
        <v>#N/A</v>
      </c>
      <c r="AP33" s="97" t="e">
        <f>IF('Production Data-Table'!AE44&lt;&gt;"",'Production Data-Table'!AE42*100,#N/A)</f>
        <v>#N/A</v>
      </c>
      <c r="AQ33" s="97" t="e">
        <f>IF('Production Data-Table'!AG44&lt;&gt;"",'Production Data-Table'!AG42*100,#N/A)</f>
        <v>#N/A</v>
      </c>
      <c r="AR33" s="113" t="e">
        <f>Standard!H35/7</f>
        <v>#VALUE!</v>
      </c>
      <c r="AS33" s="113" t="e">
        <f>IF('Production Data-Table'!O42="",#N/A,'Production Data-Table'!O42/7)</f>
        <v>#N/A</v>
      </c>
      <c r="AT33" s="1" t="e">
        <f>IF('Production Data-Table'!G42&lt;&gt;"",'Production Data-Table'!S42,#N/A)</f>
        <v>#N/A</v>
      </c>
      <c r="AU33" s="1" t="e">
        <f>IF('Production Data-Table'!Z42&lt;&gt;"",'Production Data-Table'!Z42,#N/A)</f>
        <v>#N/A</v>
      </c>
    </row>
    <row r="34" spans="2:47" x14ac:dyDescent="0.2">
      <c r="B34" s="1">
        <v>46</v>
      </c>
      <c r="C34" s="93" t="e">
        <f>100-Standard!E36</f>
        <v>#VALUE!</v>
      </c>
      <c r="D34" s="85" t="e">
        <f>IF('Production Data-Table'!E44="",#N/A,'Production Data-Table'!E44*100)</f>
        <v>#N/A</v>
      </c>
      <c r="E34" s="82" t="str">
        <f>Standard!D36</f>
        <v/>
      </c>
      <c r="F34" s="82" t="e">
        <f t="shared" ref="F34:S34" si="36">E34*$E$3</f>
        <v>#VALUE!</v>
      </c>
      <c r="G34" s="82" t="e">
        <f t="shared" si="36"/>
        <v>#VALUE!</v>
      </c>
      <c r="H34" s="82" t="e">
        <f t="shared" si="36"/>
        <v>#VALUE!</v>
      </c>
      <c r="I34" s="82" t="e">
        <f t="shared" si="36"/>
        <v>#VALUE!</v>
      </c>
      <c r="J34" s="82" t="e">
        <f t="shared" si="36"/>
        <v>#VALUE!</v>
      </c>
      <c r="K34" s="82" t="e">
        <f t="shared" si="36"/>
        <v>#VALUE!</v>
      </c>
      <c r="L34" s="82" t="e">
        <f t="shared" si="36"/>
        <v>#VALUE!</v>
      </c>
      <c r="M34" s="82" t="e">
        <f t="shared" si="36"/>
        <v>#VALUE!</v>
      </c>
      <c r="N34" s="82" t="e">
        <f t="shared" si="36"/>
        <v>#VALUE!</v>
      </c>
      <c r="O34" s="82" t="e">
        <f t="shared" si="36"/>
        <v>#VALUE!</v>
      </c>
      <c r="P34" s="82" t="e">
        <f t="shared" si="36"/>
        <v>#VALUE!</v>
      </c>
      <c r="Q34" s="82" t="e">
        <f t="shared" si="36"/>
        <v>#VALUE!</v>
      </c>
      <c r="R34" s="82" t="e">
        <f t="shared" si="36"/>
        <v>#VALUE!</v>
      </c>
      <c r="S34" s="82" t="e">
        <f t="shared" si="36"/>
        <v>#VALUE!</v>
      </c>
      <c r="T34" s="83" t="e">
        <f>IF('Production Data-Table'!H44="",#N/A,'Production Data-Table'!H44)</f>
        <v>#N/A</v>
      </c>
      <c r="U34" s="84" t="e">
        <f t="shared" si="3"/>
        <v>#VALUE!</v>
      </c>
      <c r="V34" s="84" t="e">
        <f t="shared" si="27"/>
        <v>#VALUE!</v>
      </c>
      <c r="W34" s="84" t="e">
        <f t="shared" si="27"/>
        <v>#VALUE!</v>
      </c>
      <c r="X34" s="84" t="e">
        <f t="shared" si="27"/>
        <v>#VALUE!</v>
      </c>
      <c r="Y34" s="84" t="e">
        <f t="shared" si="27"/>
        <v>#VALUE!</v>
      </c>
      <c r="Z34" s="84" t="e">
        <f t="shared" si="27"/>
        <v>#VALUE!</v>
      </c>
      <c r="AA34" s="84" t="e">
        <f t="shared" si="27"/>
        <v>#VALUE!</v>
      </c>
      <c r="AB34" s="84" t="str">
        <f>Standard!G36</f>
        <v/>
      </c>
      <c r="AC34" s="84" t="e">
        <f t="shared" si="28"/>
        <v>#VALUE!</v>
      </c>
      <c r="AD34" s="84" t="e">
        <f t="shared" si="28"/>
        <v>#VALUE!</v>
      </c>
      <c r="AE34" s="84" t="e">
        <f t="shared" si="28"/>
        <v>#VALUE!</v>
      </c>
      <c r="AF34" s="84" t="e">
        <f t="shared" si="28"/>
        <v>#VALUE!</v>
      </c>
      <c r="AG34" s="84" t="e">
        <f t="shared" si="28"/>
        <v>#VALUE!</v>
      </c>
      <c r="AH34" s="84" t="e">
        <f t="shared" si="28"/>
        <v>#VALUE!</v>
      </c>
      <c r="AI34" s="84" t="e">
        <f t="shared" si="28"/>
        <v>#VALUE!</v>
      </c>
      <c r="AJ34" s="84" t="e">
        <f>IF('Production Data-Table'!M44="",#N/A,'Production Data-Table'!M44)</f>
        <v>#N/A</v>
      </c>
      <c r="AK34" s="86" t="e">
        <f t="shared" si="4"/>
        <v>#VALUE!</v>
      </c>
      <c r="AL34" s="86" t="e">
        <f t="shared" si="5"/>
        <v>#N/A</v>
      </c>
      <c r="AM34" s="86" t="str">
        <f>Standard!B36</f>
        <v/>
      </c>
      <c r="AN34" s="87" t="e">
        <f>IF('Production Data-Table'!AH44&lt;&gt;"",'Production Data-Table'!AH44,#N/A)</f>
        <v>#N/A</v>
      </c>
      <c r="AO34" s="97" t="e">
        <f>IF('Production Data-Table'!AC45="",#N/A,'Production Data-Table'!AC43*100)</f>
        <v>#N/A</v>
      </c>
      <c r="AP34" s="97" t="e">
        <f>IF('Production Data-Table'!AE45&lt;&gt;"",'Production Data-Table'!AE43*100,#N/A)</f>
        <v>#N/A</v>
      </c>
      <c r="AQ34" s="97" t="e">
        <f>IF('Production Data-Table'!AG45&lt;&gt;"",'Production Data-Table'!AG43*100,#N/A)</f>
        <v>#N/A</v>
      </c>
      <c r="AR34" s="113" t="e">
        <f>Standard!H36/7</f>
        <v>#VALUE!</v>
      </c>
      <c r="AS34" s="113" t="e">
        <f>IF('Production Data-Table'!O43="",#N/A,'Production Data-Table'!O43/7)</f>
        <v>#N/A</v>
      </c>
      <c r="AT34" s="1" t="e">
        <f>IF('Production Data-Table'!G43&lt;&gt;"",'Production Data-Table'!S43,#N/A)</f>
        <v>#N/A</v>
      </c>
      <c r="AU34" s="1" t="e">
        <f>IF('Production Data-Table'!Z43&lt;&gt;"",'Production Data-Table'!Z43,#N/A)</f>
        <v>#N/A</v>
      </c>
    </row>
    <row r="35" spans="2:47" x14ac:dyDescent="0.2">
      <c r="B35" s="1">
        <v>47</v>
      </c>
      <c r="C35" s="93" t="e">
        <f>100-Standard!E37</f>
        <v>#VALUE!</v>
      </c>
      <c r="D35" s="85" t="e">
        <f>IF('Production Data-Table'!E45="",#N/A,'Production Data-Table'!E45*100)</f>
        <v>#N/A</v>
      </c>
      <c r="E35" s="82" t="str">
        <f>Standard!D37</f>
        <v/>
      </c>
      <c r="F35" s="82" t="e">
        <f t="shared" ref="F35:S35" si="37">E35*$E$3</f>
        <v>#VALUE!</v>
      </c>
      <c r="G35" s="82" t="e">
        <f t="shared" si="37"/>
        <v>#VALUE!</v>
      </c>
      <c r="H35" s="82" t="e">
        <f t="shared" si="37"/>
        <v>#VALUE!</v>
      </c>
      <c r="I35" s="82" t="e">
        <f t="shared" si="37"/>
        <v>#VALUE!</v>
      </c>
      <c r="J35" s="82" t="e">
        <f t="shared" si="37"/>
        <v>#VALUE!</v>
      </c>
      <c r="K35" s="82" t="e">
        <f t="shared" si="37"/>
        <v>#VALUE!</v>
      </c>
      <c r="L35" s="82" t="e">
        <f t="shared" si="37"/>
        <v>#VALUE!</v>
      </c>
      <c r="M35" s="82" t="e">
        <f t="shared" si="37"/>
        <v>#VALUE!</v>
      </c>
      <c r="N35" s="82" t="e">
        <f t="shared" si="37"/>
        <v>#VALUE!</v>
      </c>
      <c r="O35" s="82" t="e">
        <f t="shared" si="37"/>
        <v>#VALUE!</v>
      </c>
      <c r="P35" s="82" t="e">
        <f t="shared" si="37"/>
        <v>#VALUE!</v>
      </c>
      <c r="Q35" s="82" t="e">
        <f t="shared" si="37"/>
        <v>#VALUE!</v>
      </c>
      <c r="R35" s="82" t="e">
        <f t="shared" si="37"/>
        <v>#VALUE!</v>
      </c>
      <c r="S35" s="82" t="e">
        <f t="shared" si="37"/>
        <v>#VALUE!</v>
      </c>
      <c r="T35" s="83" t="e">
        <f>IF('Production Data-Table'!H45="",#N/A,'Production Data-Table'!H45)</f>
        <v>#N/A</v>
      </c>
      <c r="U35" s="84" t="e">
        <f t="shared" si="3"/>
        <v>#VALUE!</v>
      </c>
      <c r="V35" s="84" t="e">
        <f t="shared" si="27"/>
        <v>#VALUE!</v>
      </c>
      <c r="W35" s="84" t="e">
        <f t="shared" si="27"/>
        <v>#VALUE!</v>
      </c>
      <c r="X35" s="84" t="e">
        <f t="shared" si="27"/>
        <v>#VALUE!</v>
      </c>
      <c r="Y35" s="84" t="e">
        <f t="shared" si="27"/>
        <v>#VALUE!</v>
      </c>
      <c r="Z35" s="84" t="e">
        <f t="shared" si="27"/>
        <v>#VALUE!</v>
      </c>
      <c r="AA35" s="84" t="e">
        <f t="shared" si="27"/>
        <v>#VALUE!</v>
      </c>
      <c r="AB35" s="84" t="str">
        <f>Standard!G37</f>
        <v/>
      </c>
      <c r="AC35" s="84" t="e">
        <f t="shared" si="28"/>
        <v>#VALUE!</v>
      </c>
      <c r="AD35" s="84" t="e">
        <f t="shared" si="28"/>
        <v>#VALUE!</v>
      </c>
      <c r="AE35" s="84" t="e">
        <f t="shared" si="28"/>
        <v>#VALUE!</v>
      </c>
      <c r="AF35" s="84" t="e">
        <f t="shared" si="28"/>
        <v>#VALUE!</v>
      </c>
      <c r="AG35" s="84" t="e">
        <f t="shared" si="28"/>
        <v>#VALUE!</v>
      </c>
      <c r="AH35" s="84" t="e">
        <f t="shared" si="28"/>
        <v>#VALUE!</v>
      </c>
      <c r="AI35" s="84" t="e">
        <f t="shared" si="28"/>
        <v>#VALUE!</v>
      </c>
      <c r="AJ35" s="84" t="e">
        <f>IF('Production Data-Table'!M45="",#N/A,'Production Data-Table'!M45)</f>
        <v>#N/A</v>
      </c>
      <c r="AK35" s="86" t="e">
        <f t="shared" si="4"/>
        <v>#VALUE!</v>
      </c>
      <c r="AL35" s="86" t="e">
        <f t="shared" si="5"/>
        <v>#N/A</v>
      </c>
      <c r="AM35" s="86" t="str">
        <f>Standard!B37</f>
        <v/>
      </c>
      <c r="AN35" s="87" t="e">
        <f>IF('Production Data-Table'!AH45&lt;&gt;"",'Production Data-Table'!AH45,#N/A)</f>
        <v>#N/A</v>
      </c>
      <c r="AO35" s="97" t="e">
        <f>IF('Production Data-Table'!AC46="",#N/A,'Production Data-Table'!AC44*100)</f>
        <v>#N/A</v>
      </c>
      <c r="AP35" s="97" t="e">
        <f>IF('Production Data-Table'!AE46&lt;&gt;"",'Production Data-Table'!AE44*100,#N/A)</f>
        <v>#N/A</v>
      </c>
      <c r="AQ35" s="97" t="e">
        <f>IF('Production Data-Table'!AG46&lt;&gt;"",'Production Data-Table'!AG44*100,#N/A)</f>
        <v>#N/A</v>
      </c>
      <c r="AR35" s="113" t="e">
        <f>Standard!H37/7</f>
        <v>#VALUE!</v>
      </c>
      <c r="AS35" s="113" t="e">
        <f>IF('Production Data-Table'!O44="",#N/A,'Production Data-Table'!O44/7)</f>
        <v>#N/A</v>
      </c>
      <c r="AT35" s="1" t="e">
        <f>IF('Production Data-Table'!G44&lt;&gt;"",'Production Data-Table'!S44,#N/A)</f>
        <v>#N/A</v>
      </c>
      <c r="AU35" s="1" t="e">
        <f>IF('Production Data-Table'!Z44&lt;&gt;"",'Production Data-Table'!Z44,#N/A)</f>
        <v>#N/A</v>
      </c>
    </row>
    <row r="36" spans="2:47" x14ac:dyDescent="0.2">
      <c r="B36" s="1">
        <v>48</v>
      </c>
      <c r="C36" s="93" t="e">
        <f>100-Standard!E38</f>
        <v>#VALUE!</v>
      </c>
      <c r="D36" s="85" t="e">
        <f>IF('Production Data-Table'!E46="",#N/A,'Production Data-Table'!E46*100)</f>
        <v>#N/A</v>
      </c>
      <c r="E36" s="82" t="str">
        <f>Standard!D38</f>
        <v/>
      </c>
      <c r="F36" s="82" t="e">
        <f t="shared" ref="F36:S36" si="38">E36*$E$3</f>
        <v>#VALUE!</v>
      </c>
      <c r="G36" s="82" t="e">
        <f t="shared" si="38"/>
        <v>#VALUE!</v>
      </c>
      <c r="H36" s="82" t="e">
        <f t="shared" si="38"/>
        <v>#VALUE!</v>
      </c>
      <c r="I36" s="82" t="e">
        <f t="shared" si="38"/>
        <v>#VALUE!</v>
      </c>
      <c r="J36" s="82" t="e">
        <f t="shared" si="38"/>
        <v>#VALUE!</v>
      </c>
      <c r="K36" s="82" t="e">
        <f t="shared" si="38"/>
        <v>#VALUE!</v>
      </c>
      <c r="L36" s="82" t="e">
        <f t="shared" si="38"/>
        <v>#VALUE!</v>
      </c>
      <c r="M36" s="82" t="e">
        <f t="shared" si="38"/>
        <v>#VALUE!</v>
      </c>
      <c r="N36" s="82" t="e">
        <f t="shared" si="38"/>
        <v>#VALUE!</v>
      </c>
      <c r="O36" s="82" t="e">
        <f t="shared" si="38"/>
        <v>#VALUE!</v>
      </c>
      <c r="P36" s="82" t="e">
        <f t="shared" si="38"/>
        <v>#VALUE!</v>
      </c>
      <c r="Q36" s="82" t="e">
        <f t="shared" si="38"/>
        <v>#VALUE!</v>
      </c>
      <c r="R36" s="82" t="e">
        <f t="shared" si="38"/>
        <v>#VALUE!</v>
      </c>
      <c r="S36" s="82" t="e">
        <f t="shared" si="38"/>
        <v>#VALUE!</v>
      </c>
      <c r="T36" s="83" t="e">
        <f>IF('Production Data-Table'!H46="",#N/A,'Production Data-Table'!H46)</f>
        <v>#N/A</v>
      </c>
      <c r="U36" s="84" t="e">
        <f t="shared" si="3"/>
        <v>#VALUE!</v>
      </c>
      <c r="V36" s="84" t="e">
        <f t="shared" ref="V36:AA45" si="39">W36*$V$3</f>
        <v>#VALUE!</v>
      </c>
      <c r="W36" s="84" t="e">
        <f t="shared" si="39"/>
        <v>#VALUE!</v>
      </c>
      <c r="X36" s="84" t="e">
        <f t="shared" si="39"/>
        <v>#VALUE!</v>
      </c>
      <c r="Y36" s="84" t="e">
        <f t="shared" si="39"/>
        <v>#VALUE!</v>
      </c>
      <c r="Z36" s="84" t="e">
        <f t="shared" si="39"/>
        <v>#VALUE!</v>
      </c>
      <c r="AA36" s="84" t="e">
        <f t="shared" si="39"/>
        <v>#VALUE!</v>
      </c>
      <c r="AB36" s="84" t="str">
        <f>Standard!G38</f>
        <v/>
      </c>
      <c r="AC36" s="84" t="e">
        <f t="shared" ref="AC36:AI45" si="40">AB36*$U$3</f>
        <v>#VALUE!</v>
      </c>
      <c r="AD36" s="84" t="e">
        <f t="shared" si="40"/>
        <v>#VALUE!</v>
      </c>
      <c r="AE36" s="84" t="e">
        <f t="shared" si="40"/>
        <v>#VALUE!</v>
      </c>
      <c r="AF36" s="84" t="e">
        <f t="shared" si="40"/>
        <v>#VALUE!</v>
      </c>
      <c r="AG36" s="84" t="e">
        <f t="shared" si="40"/>
        <v>#VALUE!</v>
      </c>
      <c r="AH36" s="84" t="e">
        <f t="shared" si="40"/>
        <v>#VALUE!</v>
      </c>
      <c r="AI36" s="84" t="e">
        <f t="shared" si="40"/>
        <v>#VALUE!</v>
      </c>
      <c r="AJ36" s="84" t="e">
        <f>IF('Production Data-Table'!M46="",#N/A,'Production Data-Table'!M46)</f>
        <v>#N/A</v>
      </c>
      <c r="AK36" s="86" t="e">
        <f t="shared" si="4"/>
        <v>#VALUE!</v>
      </c>
      <c r="AL36" s="86" t="e">
        <f t="shared" si="5"/>
        <v>#N/A</v>
      </c>
      <c r="AM36" s="86" t="str">
        <f>Standard!B38</f>
        <v/>
      </c>
      <c r="AN36" s="87" t="e">
        <f>IF('Production Data-Table'!AH46&lt;&gt;"",'Production Data-Table'!AH46,#N/A)</f>
        <v>#N/A</v>
      </c>
      <c r="AO36" s="97" t="e">
        <f>IF('Production Data-Table'!AC47="",#N/A,'Production Data-Table'!AC45*100)</f>
        <v>#N/A</v>
      </c>
      <c r="AP36" s="97" t="e">
        <f>IF('Production Data-Table'!AE47&lt;&gt;"",'Production Data-Table'!AE45*100,#N/A)</f>
        <v>#N/A</v>
      </c>
      <c r="AQ36" s="97" t="e">
        <f>IF('Production Data-Table'!AG47&lt;&gt;"",'Production Data-Table'!AG45*100,#N/A)</f>
        <v>#N/A</v>
      </c>
      <c r="AR36" s="113" t="e">
        <f>Standard!H38/7</f>
        <v>#VALUE!</v>
      </c>
      <c r="AS36" s="113" t="e">
        <f>IF('Production Data-Table'!O45="",#N/A,'Production Data-Table'!O45/7)</f>
        <v>#N/A</v>
      </c>
      <c r="AT36" s="1" t="e">
        <f>IF('Production Data-Table'!G45&lt;&gt;"",'Production Data-Table'!S45,#N/A)</f>
        <v>#N/A</v>
      </c>
      <c r="AU36" s="1" t="e">
        <f>IF('Production Data-Table'!Z45&lt;&gt;"",'Production Data-Table'!Z45,#N/A)</f>
        <v>#N/A</v>
      </c>
    </row>
    <row r="37" spans="2:47" x14ac:dyDescent="0.2">
      <c r="B37" s="1">
        <v>49</v>
      </c>
      <c r="C37" s="93" t="e">
        <f>100-Standard!E39</f>
        <v>#VALUE!</v>
      </c>
      <c r="D37" s="85" t="e">
        <f>IF('Production Data-Table'!E47="",#N/A,'Production Data-Table'!E47*100)</f>
        <v>#N/A</v>
      </c>
      <c r="E37" s="82" t="str">
        <f>Standard!D39</f>
        <v/>
      </c>
      <c r="F37" s="82" t="e">
        <f t="shared" ref="F37:S37" si="41">E37*$E$3</f>
        <v>#VALUE!</v>
      </c>
      <c r="G37" s="82" t="e">
        <f t="shared" si="41"/>
        <v>#VALUE!</v>
      </c>
      <c r="H37" s="82" t="e">
        <f t="shared" si="41"/>
        <v>#VALUE!</v>
      </c>
      <c r="I37" s="82" t="e">
        <f t="shared" si="41"/>
        <v>#VALUE!</v>
      </c>
      <c r="J37" s="82" t="e">
        <f t="shared" si="41"/>
        <v>#VALUE!</v>
      </c>
      <c r="K37" s="82" t="e">
        <f t="shared" si="41"/>
        <v>#VALUE!</v>
      </c>
      <c r="L37" s="82" t="e">
        <f t="shared" si="41"/>
        <v>#VALUE!</v>
      </c>
      <c r="M37" s="82" t="e">
        <f t="shared" si="41"/>
        <v>#VALUE!</v>
      </c>
      <c r="N37" s="82" t="e">
        <f t="shared" si="41"/>
        <v>#VALUE!</v>
      </c>
      <c r="O37" s="82" t="e">
        <f t="shared" si="41"/>
        <v>#VALUE!</v>
      </c>
      <c r="P37" s="82" t="e">
        <f t="shared" si="41"/>
        <v>#VALUE!</v>
      </c>
      <c r="Q37" s="82" t="e">
        <f t="shared" si="41"/>
        <v>#VALUE!</v>
      </c>
      <c r="R37" s="82" t="e">
        <f t="shared" si="41"/>
        <v>#VALUE!</v>
      </c>
      <c r="S37" s="82" t="e">
        <f t="shared" si="41"/>
        <v>#VALUE!</v>
      </c>
      <c r="T37" s="83" t="e">
        <f>IF('Production Data-Table'!H47="",#N/A,'Production Data-Table'!H47)</f>
        <v>#N/A</v>
      </c>
      <c r="U37" s="84" t="e">
        <f t="shared" si="3"/>
        <v>#VALUE!</v>
      </c>
      <c r="V37" s="84" t="e">
        <f t="shared" si="39"/>
        <v>#VALUE!</v>
      </c>
      <c r="W37" s="84" t="e">
        <f t="shared" si="39"/>
        <v>#VALUE!</v>
      </c>
      <c r="X37" s="84" t="e">
        <f t="shared" si="39"/>
        <v>#VALUE!</v>
      </c>
      <c r="Y37" s="84" t="e">
        <f t="shared" si="39"/>
        <v>#VALUE!</v>
      </c>
      <c r="Z37" s="84" t="e">
        <f t="shared" si="39"/>
        <v>#VALUE!</v>
      </c>
      <c r="AA37" s="84" t="e">
        <f t="shared" si="39"/>
        <v>#VALUE!</v>
      </c>
      <c r="AB37" s="84" t="str">
        <f>Standard!G39</f>
        <v/>
      </c>
      <c r="AC37" s="84" t="e">
        <f t="shared" si="40"/>
        <v>#VALUE!</v>
      </c>
      <c r="AD37" s="84" t="e">
        <f t="shared" si="40"/>
        <v>#VALUE!</v>
      </c>
      <c r="AE37" s="84" t="e">
        <f t="shared" si="40"/>
        <v>#VALUE!</v>
      </c>
      <c r="AF37" s="84" t="e">
        <f t="shared" si="40"/>
        <v>#VALUE!</v>
      </c>
      <c r="AG37" s="84" t="e">
        <f t="shared" si="40"/>
        <v>#VALUE!</v>
      </c>
      <c r="AH37" s="84" t="e">
        <f t="shared" si="40"/>
        <v>#VALUE!</v>
      </c>
      <c r="AI37" s="84" t="e">
        <f t="shared" si="40"/>
        <v>#VALUE!</v>
      </c>
      <c r="AJ37" s="84" t="e">
        <f>IF('Production Data-Table'!M47="",#N/A,'Production Data-Table'!M47)</f>
        <v>#N/A</v>
      </c>
      <c r="AK37" s="86" t="e">
        <f t="shared" si="4"/>
        <v>#VALUE!</v>
      </c>
      <c r="AL37" s="86" t="e">
        <f t="shared" si="5"/>
        <v>#N/A</v>
      </c>
      <c r="AM37" s="86" t="str">
        <f>Standard!B39</f>
        <v/>
      </c>
      <c r="AN37" s="87" t="e">
        <f>IF('Production Data-Table'!AH47&lt;&gt;"",'Production Data-Table'!AH47,#N/A)</f>
        <v>#N/A</v>
      </c>
      <c r="AO37" s="97" t="e">
        <f>IF('Production Data-Table'!AC48="",#N/A,'Production Data-Table'!AC46*100)</f>
        <v>#N/A</v>
      </c>
      <c r="AP37" s="97" t="e">
        <f>IF('Production Data-Table'!AE48&lt;&gt;"",'Production Data-Table'!AE46*100,#N/A)</f>
        <v>#N/A</v>
      </c>
      <c r="AQ37" s="97" t="e">
        <f>IF('Production Data-Table'!AG48&lt;&gt;"",'Production Data-Table'!AG46*100,#N/A)</f>
        <v>#N/A</v>
      </c>
      <c r="AR37" s="113" t="e">
        <f>Standard!H39/7</f>
        <v>#VALUE!</v>
      </c>
      <c r="AS37" s="113" t="e">
        <f>IF('Production Data-Table'!O46="",#N/A,'Production Data-Table'!O46/7)</f>
        <v>#N/A</v>
      </c>
      <c r="AT37" s="1" t="e">
        <f>IF('Production Data-Table'!G46&lt;&gt;"",'Production Data-Table'!S46,#N/A)</f>
        <v>#N/A</v>
      </c>
      <c r="AU37" s="1" t="e">
        <f>IF('Production Data-Table'!Z46&lt;&gt;"",'Production Data-Table'!Z46,#N/A)</f>
        <v>#N/A</v>
      </c>
    </row>
    <row r="38" spans="2:47" x14ac:dyDescent="0.2">
      <c r="B38" s="1">
        <v>50</v>
      </c>
      <c r="C38" s="93" t="e">
        <f>100-Standard!E40</f>
        <v>#VALUE!</v>
      </c>
      <c r="D38" s="85" t="e">
        <f>IF('Production Data-Table'!E48="",#N/A,'Production Data-Table'!E48*100)</f>
        <v>#N/A</v>
      </c>
      <c r="E38" s="82" t="str">
        <f>Standard!D40</f>
        <v/>
      </c>
      <c r="F38" s="82" t="e">
        <f t="shared" ref="F38:S38" si="42">E38*$E$3</f>
        <v>#VALUE!</v>
      </c>
      <c r="G38" s="82" t="e">
        <f t="shared" si="42"/>
        <v>#VALUE!</v>
      </c>
      <c r="H38" s="82" t="e">
        <f t="shared" si="42"/>
        <v>#VALUE!</v>
      </c>
      <c r="I38" s="82" t="e">
        <f t="shared" si="42"/>
        <v>#VALUE!</v>
      </c>
      <c r="J38" s="82" t="e">
        <f t="shared" si="42"/>
        <v>#VALUE!</v>
      </c>
      <c r="K38" s="82" t="e">
        <f t="shared" si="42"/>
        <v>#VALUE!</v>
      </c>
      <c r="L38" s="82" t="e">
        <f t="shared" si="42"/>
        <v>#VALUE!</v>
      </c>
      <c r="M38" s="82" t="e">
        <f t="shared" si="42"/>
        <v>#VALUE!</v>
      </c>
      <c r="N38" s="82" t="e">
        <f t="shared" si="42"/>
        <v>#VALUE!</v>
      </c>
      <c r="O38" s="82" t="e">
        <f t="shared" si="42"/>
        <v>#VALUE!</v>
      </c>
      <c r="P38" s="82" t="e">
        <f t="shared" si="42"/>
        <v>#VALUE!</v>
      </c>
      <c r="Q38" s="82" t="e">
        <f t="shared" si="42"/>
        <v>#VALUE!</v>
      </c>
      <c r="R38" s="82" t="e">
        <f t="shared" si="42"/>
        <v>#VALUE!</v>
      </c>
      <c r="S38" s="82" t="e">
        <f t="shared" si="42"/>
        <v>#VALUE!</v>
      </c>
      <c r="T38" s="83" t="e">
        <f>IF('Production Data-Table'!H48="",#N/A,'Production Data-Table'!H48)</f>
        <v>#N/A</v>
      </c>
      <c r="U38" s="84" t="e">
        <f t="shared" si="3"/>
        <v>#VALUE!</v>
      </c>
      <c r="V38" s="84" t="e">
        <f t="shared" si="39"/>
        <v>#VALUE!</v>
      </c>
      <c r="W38" s="84" t="e">
        <f t="shared" si="39"/>
        <v>#VALUE!</v>
      </c>
      <c r="X38" s="84" t="e">
        <f t="shared" si="39"/>
        <v>#VALUE!</v>
      </c>
      <c r="Y38" s="84" t="e">
        <f t="shared" si="39"/>
        <v>#VALUE!</v>
      </c>
      <c r="Z38" s="84" t="e">
        <f t="shared" si="39"/>
        <v>#VALUE!</v>
      </c>
      <c r="AA38" s="84" t="e">
        <f t="shared" si="39"/>
        <v>#VALUE!</v>
      </c>
      <c r="AB38" s="84" t="str">
        <f>Standard!G40</f>
        <v/>
      </c>
      <c r="AC38" s="84" t="e">
        <f t="shared" si="40"/>
        <v>#VALUE!</v>
      </c>
      <c r="AD38" s="84" t="e">
        <f t="shared" si="40"/>
        <v>#VALUE!</v>
      </c>
      <c r="AE38" s="84" t="e">
        <f t="shared" si="40"/>
        <v>#VALUE!</v>
      </c>
      <c r="AF38" s="84" t="e">
        <f t="shared" si="40"/>
        <v>#VALUE!</v>
      </c>
      <c r="AG38" s="84" t="e">
        <f t="shared" si="40"/>
        <v>#VALUE!</v>
      </c>
      <c r="AH38" s="84" t="e">
        <f t="shared" si="40"/>
        <v>#VALUE!</v>
      </c>
      <c r="AI38" s="84" t="e">
        <f t="shared" si="40"/>
        <v>#VALUE!</v>
      </c>
      <c r="AJ38" s="84" t="e">
        <f>IF('Production Data-Table'!M48="",#N/A,'Production Data-Table'!M48)</f>
        <v>#N/A</v>
      </c>
      <c r="AK38" s="86" t="e">
        <f t="shared" si="4"/>
        <v>#VALUE!</v>
      </c>
      <c r="AL38" s="86" t="e">
        <f t="shared" si="5"/>
        <v>#N/A</v>
      </c>
      <c r="AM38" s="86" t="str">
        <f>Standard!B40</f>
        <v/>
      </c>
      <c r="AN38" s="87" t="e">
        <f>IF('Production Data-Table'!AH48&lt;&gt;"",'Production Data-Table'!AH48,#N/A)</f>
        <v>#N/A</v>
      </c>
      <c r="AO38" s="97" t="e">
        <f>IF('Production Data-Table'!AC49="",#N/A,'Production Data-Table'!AC47*100)</f>
        <v>#N/A</v>
      </c>
      <c r="AP38" s="97" t="e">
        <f>IF('Production Data-Table'!AE49&lt;&gt;"",'Production Data-Table'!AE47*100,#N/A)</f>
        <v>#N/A</v>
      </c>
      <c r="AQ38" s="97" t="e">
        <f>IF('Production Data-Table'!AG49&lt;&gt;"",'Production Data-Table'!AG47*100,#N/A)</f>
        <v>#N/A</v>
      </c>
      <c r="AR38" s="113" t="e">
        <f>Standard!H40/7</f>
        <v>#VALUE!</v>
      </c>
      <c r="AS38" s="113" t="e">
        <f>IF('Production Data-Table'!O47="",#N/A,'Production Data-Table'!O47/7)</f>
        <v>#N/A</v>
      </c>
      <c r="AT38" s="1" t="e">
        <f>IF('Production Data-Table'!G47&lt;&gt;"",'Production Data-Table'!S47,#N/A)</f>
        <v>#N/A</v>
      </c>
      <c r="AU38" s="1" t="e">
        <f>IF('Production Data-Table'!Z47&lt;&gt;"",'Production Data-Table'!Z47,#N/A)</f>
        <v>#N/A</v>
      </c>
    </row>
    <row r="39" spans="2:47" x14ac:dyDescent="0.2">
      <c r="B39" s="1">
        <v>51</v>
      </c>
      <c r="C39" s="93" t="e">
        <f>100-Standard!E41</f>
        <v>#VALUE!</v>
      </c>
      <c r="D39" s="85" t="e">
        <f>IF('Production Data-Table'!E49="",#N/A,'Production Data-Table'!E49*100)</f>
        <v>#N/A</v>
      </c>
      <c r="E39" s="82" t="str">
        <f>Standard!D41</f>
        <v/>
      </c>
      <c r="F39" s="82" t="e">
        <f t="shared" ref="F39:S39" si="43">E39*$E$3</f>
        <v>#VALUE!</v>
      </c>
      <c r="G39" s="82" t="e">
        <f t="shared" si="43"/>
        <v>#VALUE!</v>
      </c>
      <c r="H39" s="82" t="e">
        <f t="shared" si="43"/>
        <v>#VALUE!</v>
      </c>
      <c r="I39" s="82" t="e">
        <f t="shared" si="43"/>
        <v>#VALUE!</v>
      </c>
      <c r="J39" s="82" t="e">
        <f t="shared" si="43"/>
        <v>#VALUE!</v>
      </c>
      <c r="K39" s="82" t="e">
        <f t="shared" si="43"/>
        <v>#VALUE!</v>
      </c>
      <c r="L39" s="82" t="e">
        <f t="shared" si="43"/>
        <v>#VALUE!</v>
      </c>
      <c r="M39" s="82" t="e">
        <f t="shared" si="43"/>
        <v>#VALUE!</v>
      </c>
      <c r="N39" s="82" t="e">
        <f t="shared" si="43"/>
        <v>#VALUE!</v>
      </c>
      <c r="O39" s="82" t="e">
        <f t="shared" si="43"/>
        <v>#VALUE!</v>
      </c>
      <c r="P39" s="82" t="e">
        <f t="shared" si="43"/>
        <v>#VALUE!</v>
      </c>
      <c r="Q39" s="82" t="e">
        <f t="shared" si="43"/>
        <v>#VALUE!</v>
      </c>
      <c r="R39" s="82" t="e">
        <f t="shared" si="43"/>
        <v>#VALUE!</v>
      </c>
      <c r="S39" s="82" t="e">
        <f t="shared" si="43"/>
        <v>#VALUE!</v>
      </c>
      <c r="T39" s="83" t="e">
        <f>IF('Production Data-Table'!H49="",#N/A,'Production Data-Table'!H49)</f>
        <v>#N/A</v>
      </c>
      <c r="U39" s="84" t="e">
        <f t="shared" ref="U39:U70" si="44">V39*$V$3</f>
        <v>#VALUE!</v>
      </c>
      <c r="V39" s="84" t="e">
        <f t="shared" si="39"/>
        <v>#VALUE!</v>
      </c>
      <c r="W39" s="84" t="e">
        <f t="shared" si="39"/>
        <v>#VALUE!</v>
      </c>
      <c r="X39" s="84" t="e">
        <f t="shared" si="39"/>
        <v>#VALUE!</v>
      </c>
      <c r="Y39" s="84" t="e">
        <f t="shared" si="39"/>
        <v>#VALUE!</v>
      </c>
      <c r="Z39" s="84" t="e">
        <f t="shared" si="39"/>
        <v>#VALUE!</v>
      </c>
      <c r="AA39" s="84" t="e">
        <f t="shared" si="39"/>
        <v>#VALUE!</v>
      </c>
      <c r="AB39" s="84" t="str">
        <f>Standard!G41</f>
        <v/>
      </c>
      <c r="AC39" s="84" t="e">
        <f t="shared" si="40"/>
        <v>#VALUE!</v>
      </c>
      <c r="AD39" s="84" t="e">
        <f t="shared" si="40"/>
        <v>#VALUE!</v>
      </c>
      <c r="AE39" s="84" t="e">
        <f t="shared" si="40"/>
        <v>#VALUE!</v>
      </c>
      <c r="AF39" s="84" t="e">
        <f t="shared" si="40"/>
        <v>#VALUE!</v>
      </c>
      <c r="AG39" s="84" t="e">
        <f t="shared" si="40"/>
        <v>#VALUE!</v>
      </c>
      <c r="AH39" s="84" t="e">
        <f t="shared" si="40"/>
        <v>#VALUE!</v>
      </c>
      <c r="AI39" s="84" t="e">
        <f t="shared" si="40"/>
        <v>#VALUE!</v>
      </c>
      <c r="AJ39" s="84" t="e">
        <f>IF('Production Data-Table'!M49="",#N/A,'Production Data-Table'!M49)</f>
        <v>#N/A</v>
      </c>
      <c r="AK39" s="86" t="e">
        <f t="shared" si="4"/>
        <v>#VALUE!</v>
      </c>
      <c r="AL39" s="86" t="e">
        <f t="shared" si="5"/>
        <v>#N/A</v>
      </c>
      <c r="AM39" s="86" t="str">
        <f>Standard!B41</f>
        <v/>
      </c>
      <c r="AN39" s="87" t="e">
        <f>IF('Production Data-Table'!AH49&lt;&gt;"",'Production Data-Table'!AH49,#N/A)</f>
        <v>#N/A</v>
      </c>
      <c r="AO39" s="97" t="e">
        <f>IF('Production Data-Table'!AC50="",#N/A,'Production Data-Table'!AC48*100)</f>
        <v>#N/A</v>
      </c>
      <c r="AP39" s="97" t="e">
        <f>IF('Production Data-Table'!AE50&lt;&gt;"",'Production Data-Table'!AE48*100,#N/A)</f>
        <v>#N/A</v>
      </c>
      <c r="AQ39" s="97" t="e">
        <f>IF('Production Data-Table'!AG50&lt;&gt;"",'Production Data-Table'!AG48*100,#N/A)</f>
        <v>#N/A</v>
      </c>
      <c r="AR39" s="113" t="e">
        <f>Standard!H41/7</f>
        <v>#VALUE!</v>
      </c>
      <c r="AS39" s="113" t="e">
        <f>IF('Production Data-Table'!O48="",#N/A,'Production Data-Table'!O48/7)</f>
        <v>#N/A</v>
      </c>
      <c r="AT39" s="1" t="e">
        <f>IF('Production Data-Table'!G48&lt;&gt;"",'Production Data-Table'!S48,#N/A)</f>
        <v>#N/A</v>
      </c>
      <c r="AU39" s="1" t="e">
        <f>IF('Production Data-Table'!Z48&lt;&gt;"",'Production Data-Table'!Z48,#N/A)</f>
        <v>#N/A</v>
      </c>
    </row>
    <row r="40" spans="2:47" x14ac:dyDescent="0.2">
      <c r="B40" s="1">
        <v>52</v>
      </c>
      <c r="C40" s="93" t="e">
        <f>100-Standard!E42</f>
        <v>#VALUE!</v>
      </c>
      <c r="D40" s="85" t="e">
        <f>IF('Production Data-Table'!E50="",#N/A,'Production Data-Table'!E50*100)</f>
        <v>#N/A</v>
      </c>
      <c r="E40" s="82" t="str">
        <f>Standard!D42</f>
        <v/>
      </c>
      <c r="F40" s="82" t="e">
        <f t="shared" ref="F40:S40" si="45">E40*$E$3</f>
        <v>#VALUE!</v>
      </c>
      <c r="G40" s="82" t="e">
        <f t="shared" si="45"/>
        <v>#VALUE!</v>
      </c>
      <c r="H40" s="82" t="e">
        <f t="shared" si="45"/>
        <v>#VALUE!</v>
      </c>
      <c r="I40" s="82" t="e">
        <f t="shared" si="45"/>
        <v>#VALUE!</v>
      </c>
      <c r="J40" s="82" t="e">
        <f t="shared" si="45"/>
        <v>#VALUE!</v>
      </c>
      <c r="K40" s="82" t="e">
        <f t="shared" si="45"/>
        <v>#VALUE!</v>
      </c>
      <c r="L40" s="82" t="e">
        <f t="shared" si="45"/>
        <v>#VALUE!</v>
      </c>
      <c r="M40" s="82" t="e">
        <f t="shared" si="45"/>
        <v>#VALUE!</v>
      </c>
      <c r="N40" s="82" t="e">
        <f t="shared" si="45"/>
        <v>#VALUE!</v>
      </c>
      <c r="O40" s="82" t="e">
        <f t="shared" si="45"/>
        <v>#VALUE!</v>
      </c>
      <c r="P40" s="82" t="e">
        <f t="shared" si="45"/>
        <v>#VALUE!</v>
      </c>
      <c r="Q40" s="82" t="e">
        <f t="shared" si="45"/>
        <v>#VALUE!</v>
      </c>
      <c r="R40" s="82" t="e">
        <f t="shared" si="45"/>
        <v>#VALUE!</v>
      </c>
      <c r="S40" s="82" t="e">
        <f t="shared" si="45"/>
        <v>#VALUE!</v>
      </c>
      <c r="T40" s="83" t="e">
        <f>IF('Production Data-Table'!H50="",#N/A,'Production Data-Table'!H50)</f>
        <v>#N/A</v>
      </c>
      <c r="U40" s="84" t="e">
        <f t="shared" si="44"/>
        <v>#VALUE!</v>
      </c>
      <c r="V40" s="84" t="e">
        <f t="shared" si="39"/>
        <v>#VALUE!</v>
      </c>
      <c r="W40" s="84" t="e">
        <f t="shared" si="39"/>
        <v>#VALUE!</v>
      </c>
      <c r="X40" s="84" t="e">
        <f t="shared" si="39"/>
        <v>#VALUE!</v>
      </c>
      <c r="Y40" s="84" t="e">
        <f t="shared" si="39"/>
        <v>#VALUE!</v>
      </c>
      <c r="Z40" s="84" t="e">
        <f t="shared" si="39"/>
        <v>#VALUE!</v>
      </c>
      <c r="AA40" s="84" t="e">
        <f t="shared" si="39"/>
        <v>#VALUE!</v>
      </c>
      <c r="AB40" s="84" t="str">
        <f>Standard!G42</f>
        <v/>
      </c>
      <c r="AC40" s="84" t="e">
        <f t="shared" si="40"/>
        <v>#VALUE!</v>
      </c>
      <c r="AD40" s="84" t="e">
        <f t="shared" si="40"/>
        <v>#VALUE!</v>
      </c>
      <c r="AE40" s="84" t="e">
        <f t="shared" si="40"/>
        <v>#VALUE!</v>
      </c>
      <c r="AF40" s="84" t="e">
        <f t="shared" si="40"/>
        <v>#VALUE!</v>
      </c>
      <c r="AG40" s="84" t="e">
        <f t="shared" si="40"/>
        <v>#VALUE!</v>
      </c>
      <c r="AH40" s="84" t="e">
        <f t="shared" si="40"/>
        <v>#VALUE!</v>
      </c>
      <c r="AI40" s="84" t="e">
        <f t="shared" si="40"/>
        <v>#VALUE!</v>
      </c>
      <c r="AJ40" s="84" t="e">
        <f>IF('Production Data-Table'!M50="",#N/A,'Production Data-Table'!M50)</f>
        <v>#N/A</v>
      </c>
      <c r="AK40" s="86" t="e">
        <f t="shared" si="4"/>
        <v>#VALUE!</v>
      </c>
      <c r="AL40" s="86" t="e">
        <f t="shared" si="5"/>
        <v>#N/A</v>
      </c>
      <c r="AM40" s="86" t="str">
        <f>Standard!B42</f>
        <v/>
      </c>
      <c r="AN40" s="87" t="e">
        <f>IF('Production Data-Table'!AH50&lt;&gt;"",'Production Data-Table'!AH50,#N/A)</f>
        <v>#N/A</v>
      </c>
      <c r="AO40" s="97" t="e">
        <f>IF('Production Data-Table'!AC51="",#N/A,'Production Data-Table'!AC49*100)</f>
        <v>#N/A</v>
      </c>
      <c r="AP40" s="97" t="e">
        <f>IF('Production Data-Table'!AE51&lt;&gt;"",'Production Data-Table'!AE49*100,#N/A)</f>
        <v>#N/A</v>
      </c>
      <c r="AQ40" s="97" t="e">
        <f>IF('Production Data-Table'!AG51&lt;&gt;"",'Production Data-Table'!AG49*100,#N/A)</f>
        <v>#N/A</v>
      </c>
      <c r="AR40" s="113" t="e">
        <f>Standard!H42/7</f>
        <v>#VALUE!</v>
      </c>
      <c r="AS40" s="113" t="e">
        <f>IF('Production Data-Table'!O49="",#N/A,'Production Data-Table'!O49/7)</f>
        <v>#N/A</v>
      </c>
      <c r="AT40" s="1" t="e">
        <f>IF('Production Data-Table'!G49&lt;&gt;"",'Production Data-Table'!S49,#N/A)</f>
        <v>#N/A</v>
      </c>
      <c r="AU40" s="1" t="e">
        <f>IF('Production Data-Table'!Z49&lt;&gt;"",'Production Data-Table'!Z49,#N/A)</f>
        <v>#N/A</v>
      </c>
    </row>
    <row r="41" spans="2:47" x14ac:dyDescent="0.2">
      <c r="B41" s="1">
        <v>53</v>
      </c>
      <c r="C41" s="93" t="e">
        <f>100-Standard!E43</f>
        <v>#VALUE!</v>
      </c>
      <c r="D41" s="85" t="e">
        <f>IF('Production Data-Table'!E51="",#N/A,'Production Data-Table'!E51*100)</f>
        <v>#N/A</v>
      </c>
      <c r="E41" s="82" t="str">
        <f>Standard!D43</f>
        <v/>
      </c>
      <c r="F41" s="82" t="e">
        <f t="shared" ref="F41:S41" si="46">E41*$E$3</f>
        <v>#VALUE!</v>
      </c>
      <c r="G41" s="82" t="e">
        <f t="shared" si="46"/>
        <v>#VALUE!</v>
      </c>
      <c r="H41" s="82" t="e">
        <f t="shared" si="46"/>
        <v>#VALUE!</v>
      </c>
      <c r="I41" s="82" t="e">
        <f t="shared" si="46"/>
        <v>#VALUE!</v>
      </c>
      <c r="J41" s="82" t="e">
        <f t="shared" si="46"/>
        <v>#VALUE!</v>
      </c>
      <c r="K41" s="82" t="e">
        <f t="shared" si="46"/>
        <v>#VALUE!</v>
      </c>
      <c r="L41" s="82" t="e">
        <f t="shared" si="46"/>
        <v>#VALUE!</v>
      </c>
      <c r="M41" s="82" t="e">
        <f t="shared" si="46"/>
        <v>#VALUE!</v>
      </c>
      <c r="N41" s="82" t="e">
        <f t="shared" si="46"/>
        <v>#VALUE!</v>
      </c>
      <c r="O41" s="82" t="e">
        <f t="shared" si="46"/>
        <v>#VALUE!</v>
      </c>
      <c r="P41" s="82" t="e">
        <f t="shared" si="46"/>
        <v>#VALUE!</v>
      </c>
      <c r="Q41" s="82" t="e">
        <f t="shared" si="46"/>
        <v>#VALUE!</v>
      </c>
      <c r="R41" s="82" t="e">
        <f t="shared" si="46"/>
        <v>#VALUE!</v>
      </c>
      <c r="S41" s="82" t="e">
        <f t="shared" si="46"/>
        <v>#VALUE!</v>
      </c>
      <c r="T41" s="83" t="e">
        <f>IF('Production Data-Table'!H51="",#N/A,'Production Data-Table'!H51)</f>
        <v>#N/A</v>
      </c>
      <c r="U41" s="84" t="e">
        <f t="shared" si="44"/>
        <v>#VALUE!</v>
      </c>
      <c r="V41" s="84" t="e">
        <f t="shared" si="39"/>
        <v>#VALUE!</v>
      </c>
      <c r="W41" s="84" t="e">
        <f t="shared" si="39"/>
        <v>#VALUE!</v>
      </c>
      <c r="X41" s="84" t="e">
        <f t="shared" si="39"/>
        <v>#VALUE!</v>
      </c>
      <c r="Y41" s="84" t="e">
        <f t="shared" si="39"/>
        <v>#VALUE!</v>
      </c>
      <c r="Z41" s="84" t="e">
        <f t="shared" si="39"/>
        <v>#VALUE!</v>
      </c>
      <c r="AA41" s="84" t="e">
        <f t="shared" si="39"/>
        <v>#VALUE!</v>
      </c>
      <c r="AB41" s="84" t="str">
        <f>Standard!G43</f>
        <v/>
      </c>
      <c r="AC41" s="84" t="e">
        <f t="shared" si="40"/>
        <v>#VALUE!</v>
      </c>
      <c r="AD41" s="84" t="e">
        <f t="shared" si="40"/>
        <v>#VALUE!</v>
      </c>
      <c r="AE41" s="84" t="e">
        <f t="shared" si="40"/>
        <v>#VALUE!</v>
      </c>
      <c r="AF41" s="84" t="e">
        <f t="shared" si="40"/>
        <v>#VALUE!</v>
      </c>
      <c r="AG41" s="84" t="e">
        <f t="shared" si="40"/>
        <v>#VALUE!</v>
      </c>
      <c r="AH41" s="84" t="e">
        <f t="shared" si="40"/>
        <v>#VALUE!</v>
      </c>
      <c r="AI41" s="84" t="e">
        <f t="shared" si="40"/>
        <v>#VALUE!</v>
      </c>
      <c r="AJ41" s="84" t="e">
        <f>IF('Production Data-Table'!M51="",#N/A,'Production Data-Table'!M51)</f>
        <v>#N/A</v>
      </c>
      <c r="AK41" s="86" t="e">
        <f t="shared" si="4"/>
        <v>#VALUE!</v>
      </c>
      <c r="AL41" s="86" t="e">
        <f t="shared" si="5"/>
        <v>#N/A</v>
      </c>
      <c r="AM41" s="86" t="str">
        <f>Standard!B43</f>
        <v/>
      </c>
      <c r="AN41" s="87" t="e">
        <f>IF('Production Data-Table'!AH51&lt;&gt;"",'Production Data-Table'!AH51,#N/A)</f>
        <v>#N/A</v>
      </c>
      <c r="AO41" s="97" t="e">
        <f>IF('Production Data-Table'!AC52="",#N/A,'Production Data-Table'!AC50*100)</f>
        <v>#N/A</v>
      </c>
      <c r="AP41" s="97" t="e">
        <f>IF('Production Data-Table'!AE52&lt;&gt;"",'Production Data-Table'!AE50*100,#N/A)</f>
        <v>#N/A</v>
      </c>
      <c r="AQ41" s="97" t="e">
        <f>IF('Production Data-Table'!AG52&lt;&gt;"",'Production Data-Table'!AG50*100,#N/A)</f>
        <v>#N/A</v>
      </c>
      <c r="AR41" s="113" t="e">
        <f>Standard!H43/7</f>
        <v>#VALUE!</v>
      </c>
      <c r="AS41" s="113" t="e">
        <f>IF('Production Data-Table'!O50="",#N/A,'Production Data-Table'!O50/7)</f>
        <v>#N/A</v>
      </c>
      <c r="AT41" s="1" t="e">
        <f>IF('Production Data-Table'!G50&lt;&gt;"",'Production Data-Table'!S50,#N/A)</f>
        <v>#N/A</v>
      </c>
      <c r="AU41" s="1" t="e">
        <f>IF('Production Data-Table'!Z50&lt;&gt;"",'Production Data-Table'!Z50,#N/A)</f>
        <v>#N/A</v>
      </c>
    </row>
    <row r="42" spans="2:47" x14ac:dyDescent="0.2">
      <c r="B42" s="1">
        <v>54</v>
      </c>
      <c r="C42" s="93" t="e">
        <f>100-Standard!E44</f>
        <v>#VALUE!</v>
      </c>
      <c r="D42" s="85" t="e">
        <f>IF('Production Data-Table'!E52="",#N/A,'Production Data-Table'!E52*100)</f>
        <v>#N/A</v>
      </c>
      <c r="E42" s="82" t="str">
        <f>Standard!D44</f>
        <v/>
      </c>
      <c r="F42" s="82" t="e">
        <f t="shared" ref="F42:S42" si="47">E42*$E$3</f>
        <v>#VALUE!</v>
      </c>
      <c r="G42" s="82" t="e">
        <f t="shared" si="47"/>
        <v>#VALUE!</v>
      </c>
      <c r="H42" s="82" t="e">
        <f t="shared" si="47"/>
        <v>#VALUE!</v>
      </c>
      <c r="I42" s="82" t="e">
        <f t="shared" si="47"/>
        <v>#VALUE!</v>
      </c>
      <c r="J42" s="82" t="e">
        <f t="shared" si="47"/>
        <v>#VALUE!</v>
      </c>
      <c r="K42" s="82" t="e">
        <f t="shared" si="47"/>
        <v>#VALUE!</v>
      </c>
      <c r="L42" s="82" t="e">
        <f t="shared" si="47"/>
        <v>#VALUE!</v>
      </c>
      <c r="M42" s="82" t="e">
        <f t="shared" si="47"/>
        <v>#VALUE!</v>
      </c>
      <c r="N42" s="82" t="e">
        <f t="shared" si="47"/>
        <v>#VALUE!</v>
      </c>
      <c r="O42" s="82" t="e">
        <f t="shared" si="47"/>
        <v>#VALUE!</v>
      </c>
      <c r="P42" s="82" t="e">
        <f t="shared" si="47"/>
        <v>#VALUE!</v>
      </c>
      <c r="Q42" s="82" t="e">
        <f t="shared" si="47"/>
        <v>#VALUE!</v>
      </c>
      <c r="R42" s="82" t="e">
        <f t="shared" si="47"/>
        <v>#VALUE!</v>
      </c>
      <c r="S42" s="82" t="e">
        <f t="shared" si="47"/>
        <v>#VALUE!</v>
      </c>
      <c r="T42" s="83" t="e">
        <f>IF('Production Data-Table'!H52="",#N/A,'Production Data-Table'!H52)</f>
        <v>#N/A</v>
      </c>
      <c r="U42" s="84" t="e">
        <f t="shared" si="44"/>
        <v>#VALUE!</v>
      </c>
      <c r="V42" s="84" t="e">
        <f t="shared" si="39"/>
        <v>#VALUE!</v>
      </c>
      <c r="W42" s="84" t="e">
        <f t="shared" si="39"/>
        <v>#VALUE!</v>
      </c>
      <c r="X42" s="84" t="e">
        <f t="shared" si="39"/>
        <v>#VALUE!</v>
      </c>
      <c r="Y42" s="84" t="e">
        <f t="shared" si="39"/>
        <v>#VALUE!</v>
      </c>
      <c r="Z42" s="84" t="e">
        <f t="shared" si="39"/>
        <v>#VALUE!</v>
      </c>
      <c r="AA42" s="84" t="e">
        <f t="shared" si="39"/>
        <v>#VALUE!</v>
      </c>
      <c r="AB42" s="84" t="str">
        <f>Standard!G44</f>
        <v/>
      </c>
      <c r="AC42" s="84" t="e">
        <f t="shared" si="40"/>
        <v>#VALUE!</v>
      </c>
      <c r="AD42" s="84" t="e">
        <f t="shared" si="40"/>
        <v>#VALUE!</v>
      </c>
      <c r="AE42" s="84" t="e">
        <f t="shared" si="40"/>
        <v>#VALUE!</v>
      </c>
      <c r="AF42" s="84" t="e">
        <f t="shared" si="40"/>
        <v>#VALUE!</v>
      </c>
      <c r="AG42" s="84" t="e">
        <f t="shared" si="40"/>
        <v>#VALUE!</v>
      </c>
      <c r="AH42" s="84" t="e">
        <f t="shared" si="40"/>
        <v>#VALUE!</v>
      </c>
      <c r="AI42" s="84" t="e">
        <f t="shared" si="40"/>
        <v>#VALUE!</v>
      </c>
      <c r="AJ42" s="84" t="e">
        <f>IF('Production Data-Table'!M52="",#N/A,'Production Data-Table'!M52)</f>
        <v>#N/A</v>
      </c>
      <c r="AK42" s="86" t="e">
        <f t="shared" si="4"/>
        <v>#VALUE!</v>
      </c>
      <c r="AL42" s="86" t="e">
        <f t="shared" si="5"/>
        <v>#N/A</v>
      </c>
      <c r="AM42" s="86" t="str">
        <f>Standard!B44</f>
        <v/>
      </c>
      <c r="AN42" s="87" t="e">
        <f>IF('Production Data-Table'!AH52&lt;&gt;"",'Production Data-Table'!AH52,#N/A)</f>
        <v>#N/A</v>
      </c>
      <c r="AO42" s="97" t="e">
        <f>IF('Production Data-Table'!AC53="",#N/A,'Production Data-Table'!AC51*100)</f>
        <v>#N/A</v>
      </c>
      <c r="AP42" s="97" t="e">
        <f>IF('Production Data-Table'!AE53&lt;&gt;"",'Production Data-Table'!AE51*100,#N/A)</f>
        <v>#N/A</v>
      </c>
      <c r="AQ42" s="97" t="e">
        <f>IF('Production Data-Table'!AG53&lt;&gt;"",'Production Data-Table'!AG51*100,#N/A)</f>
        <v>#N/A</v>
      </c>
      <c r="AR42" s="113" t="e">
        <f>Standard!H44/7</f>
        <v>#VALUE!</v>
      </c>
      <c r="AS42" s="113" t="e">
        <f>IF('Production Data-Table'!O51="",#N/A,'Production Data-Table'!O51/7)</f>
        <v>#N/A</v>
      </c>
      <c r="AT42" s="1" t="e">
        <f>IF('Production Data-Table'!G51&lt;&gt;"",'Production Data-Table'!S51,#N/A)</f>
        <v>#N/A</v>
      </c>
      <c r="AU42" s="1" t="e">
        <f>IF('Production Data-Table'!Z51&lt;&gt;"",'Production Data-Table'!Z51,#N/A)</f>
        <v>#N/A</v>
      </c>
    </row>
    <row r="43" spans="2:47" x14ac:dyDescent="0.2">
      <c r="B43" s="1">
        <v>55</v>
      </c>
      <c r="C43" s="93" t="e">
        <f>100-Standard!E45</f>
        <v>#VALUE!</v>
      </c>
      <c r="D43" s="85" t="e">
        <f>IF('Production Data-Table'!E53="",#N/A,'Production Data-Table'!E53*100)</f>
        <v>#N/A</v>
      </c>
      <c r="E43" s="82" t="str">
        <f>Standard!D45</f>
        <v/>
      </c>
      <c r="F43" s="82" t="e">
        <f t="shared" ref="F43:S43" si="48">E43*$E$3</f>
        <v>#VALUE!</v>
      </c>
      <c r="G43" s="82" t="e">
        <f t="shared" si="48"/>
        <v>#VALUE!</v>
      </c>
      <c r="H43" s="82" t="e">
        <f t="shared" si="48"/>
        <v>#VALUE!</v>
      </c>
      <c r="I43" s="82" t="e">
        <f t="shared" si="48"/>
        <v>#VALUE!</v>
      </c>
      <c r="J43" s="82" t="e">
        <f t="shared" si="48"/>
        <v>#VALUE!</v>
      </c>
      <c r="K43" s="82" t="e">
        <f t="shared" si="48"/>
        <v>#VALUE!</v>
      </c>
      <c r="L43" s="82" t="e">
        <f t="shared" si="48"/>
        <v>#VALUE!</v>
      </c>
      <c r="M43" s="82" t="e">
        <f t="shared" si="48"/>
        <v>#VALUE!</v>
      </c>
      <c r="N43" s="82" t="e">
        <f t="shared" si="48"/>
        <v>#VALUE!</v>
      </c>
      <c r="O43" s="82" t="e">
        <f t="shared" si="48"/>
        <v>#VALUE!</v>
      </c>
      <c r="P43" s="82" t="e">
        <f t="shared" si="48"/>
        <v>#VALUE!</v>
      </c>
      <c r="Q43" s="82" t="e">
        <f t="shared" si="48"/>
        <v>#VALUE!</v>
      </c>
      <c r="R43" s="82" t="e">
        <f t="shared" si="48"/>
        <v>#VALUE!</v>
      </c>
      <c r="S43" s="82" t="e">
        <f t="shared" si="48"/>
        <v>#VALUE!</v>
      </c>
      <c r="T43" s="83" t="e">
        <f>IF('Production Data-Table'!H53="",#N/A,'Production Data-Table'!H53)</f>
        <v>#N/A</v>
      </c>
      <c r="U43" s="84" t="e">
        <f t="shared" si="44"/>
        <v>#VALUE!</v>
      </c>
      <c r="V43" s="84" t="e">
        <f t="shared" si="39"/>
        <v>#VALUE!</v>
      </c>
      <c r="W43" s="84" t="e">
        <f t="shared" si="39"/>
        <v>#VALUE!</v>
      </c>
      <c r="X43" s="84" t="e">
        <f t="shared" si="39"/>
        <v>#VALUE!</v>
      </c>
      <c r="Y43" s="84" t="e">
        <f t="shared" si="39"/>
        <v>#VALUE!</v>
      </c>
      <c r="Z43" s="84" t="e">
        <f t="shared" si="39"/>
        <v>#VALUE!</v>
      </c>
      <c r="AA43" s="84" t="e">
        <f t="shared" si="39"/>
        <v>#VALUE!</v>
      </c>
      <c r="AB43" s="84" t="str">
        <f>Standard!G45</f>
        <v/>
      </c>
      <c r="AC43" s="84" t="e">
        <f t="shared" si="40"/>
        <v>#VALUE!</v>
      </c>
      <c r="AD43" s="84" t="e">
        <f t="shared" si="40"/>
        <v>#VALUE!</v>
      </c>
      <c r="AE43" s="84" t="e">
        <f t="shared" si="40"/>
        <v>#VALUE!</v>
      </c>
      <c r="AF43" s="84" t="e">
        <f t="shared" si="40"/>
        <v>#VALUE!</v>
      </c>
      <c r="AG43" s="84" t="e">
        <f t="shared" si="40"/>
        <v>#VALUE!</v>
      </c>
      <c r="AH43" s="84" t="e">
        <f t="shared" si="40"/>
        <v>#VALUE!</v>
      </c>
      <c r="AI43" s="84" t="e">
        <f t="shared" si="40"/>
        <v>#VALUE!</v>
      </c>
      <c r="AJ43" s="84" t="e">
        <f>IF('Production Data-Table'!M53="",#N/A,'Production Data-Table'!M53)</f>
        <v>#N/A</v>
      </c>
      <c r="AK43" s="86" t="e">
        <f t="shared" si="4"/>
        <v>#VALUE!</v>
      </c>
      <c r="AL43" s="86" t="e">
        <f t="shared" si="5"/>
        <v>#N/A</v>
      </c>
      <c r="AM43" s="86" t="str">
        <f>Standard!B45</f>
        <v/>
      </c>
      <c r="AN43" s="87" t="e">
        <f>IF('Production Data-Table'!AH53&lt;&gt;"",'Production Data-Table'!AH53,#N/A)</f>
        <v>#N/A</v>
      </c>
      <c r="AO43" s="97" t="e">
        <f>IF('Production Data-Table'!AC54="",#N/A,'Production Data-Table'!AC52*100)</f>
        <v>#N/A</v>
      </c>
      <c r="AP43" s="97" t="e">
        <f>IF('Production Data-Table'!AE54&lt;&gt;"",'Production Data-Table'!AE52*100,#N/A)</f>
        <v>#N/A</v>
      </c>
      <c r="AQ43" s="97" t="e">
        <f>IF('Production Data-Table'!AG54&lt;&gt;"",'Production Data-Table'!AG52*100,#N/A)</f>
        <v>#N/A</v>
      </c>
      <c r="AR43" s="113" t="e">
        <f>Standard!H45/7</f>
        <v>#VALUE!</v>
      </c>
      <c r="AS43" s="113" t="e">
        <f>IF('Production Data-Table'!O52="",#N/A,'Production Data-Table'!O52/7)</f>
        <v>#N/A</v>
      </c>
      <c r="AT43" s="1" t="e">
        <f>IF('Production Data-Table'!G52&lt;&gt;"",'Production Data-Table'!S52,#N/A)</f>
        <v>#N/A</v>
      </c>
      <c r="AU43" s="1" t="e">
        <f>IF('Production Data-Table'!Z52&lt;&gt;"",'Production Data-Table'!Z52,#N/A)</f>
        <v>#N/A</v>
      </c>
    </row>
    <row r="44" spans="2:47" x14ac:dyDescent="0.2">
      <c r="B44" s="1">
        <v>56</v>
      </c>
      <c r="C44" s="93" t="e">
        <f>100-Standard!E46</f>
        <v>#VALUE!</v>
      </c>
      <c r="D44" s="85" t="e">
        <f>IF('Production Data-Table'!E54="",#N/A,'Production Data-Table'!E54*100)</f>
        <v>#N/A</v>
      </c>
      <c r="E44" s="82" t="str">
        <f>Standard!D46</f>
        <v/>
      </c>
      <c r="F44" s="82" t="e">
        <f t="shared" ref="F44:S44" si="49">E44*$E$3</f>
        <v>#VALUE!</v>
      </c>
      <c r="G44" s="82" t="e">
        <f t="shared" si="49"/>
        <v>#VALUE!</v>
      </c>
      <c r="H44" s="82" t="e">
        <f t="shared" si="49"/>
        <v>#VALUE!</v>
      </c>
      <c r="I44" s="82" t="e">
        <f t="shared" si="49"/>
        <v>#VALUE!</v>
      </c>
      <c r="J44" s="82" t="e">
        <f t="shared" si="49"/>
        <v>#VALUE!</v>
      </c>
      <c r="K44" s="82" t="e">
        <f t="shared" si="49"/>
        <v>#VALUE!</v>
      </c>
      <c r="L44" s="82" t="e">
        <f t="shared" si="49"/>
        <v>#VALUE!</v>
      </c>
      <c r="M44" s="82" t="e">
        <f t="shared" si="49"/>
        <v>#VALUE!</v>
      </c>
      <c r="N44" s="82" t="e">
        <f t="shared" si="49"/>
        <v>#VALUE!</v>
      </c>
      <c r="O44" s="82" t="e">
        <f t="shared" si="49"/>
        <v>#VALUE!</v>
      </c>
      <c r="P44" s="82" t="e">
        <f t="shared" si="49"/>
        <v>#VALUE!</v>
      </c>
      <c r="Q44" s="82" t="e">
        <f t="shared" si="49"/>
        <v>#VALUE!</v>
      </c>
      <c r="R44" s="82" t="e">
        <f t="shared" si="49"/>
        <v>#VALUE!</v>
      </c>
      <c r="S44" s="82" t="e">
        <f t="shared" si="49"/>
        <v>#VALUE!</v>
      </c>
      <c r="T44" s="83" t="e">
        <f>IF('Production Data-Table'!H54="",#N/A,'Production Data-Table'!H54)</f>
        <v>#N/A</v>
      </c>
      <c r="U44" s="84" t="e">
        <f t="shared" si="44"/>
        <v>#VALUE!</v>
      </c>
      <c r="V44" s="84" t="e">
        <f t="shared" si="39"/>
        <v>#VALUE!</v>
      </c>
      <c r="W44" s="84" t="e">
        <f t="shared" si="39"/>
        <v>#VALUE!</v>
      </c>
      <c r="X44" s="84" t="e">
        <f t="shared" si="39"/>
        <v>#VALUE!</v>
      </c>
      <c r="Y44" s="84" t="e">
        <f t="shared" si="39"/>
        <v>#VALUE!</v>
      </c>
      <c r="Z44" s="84" t="e">
        <f t="shared" si="39"/>
        <v>#VALUE!</v>
      </c>
      <c r="AA44" s="84" t="e">
        <f t="shared" si="39"/>
        <v>#VALUE!</v>
      </c>
      <c r="AB44" s="84" t="str">
        <f>Standard!G46</f>
        <v/>
      </c>
      <c r="AC44" s="84" t="e">
        <f t="shared" si="40"/>
        <v>#VALUE!</v>
      </c>
      <c r="AD44" s="84" t="e">
        <f t="shared" si="40"/>
        <v>#VALUE!</v>
      </c>
      <c r="AE44" s="84" t="e">
        <f t="shared" si="40"/>
        <v>#VALUE!</v>
      </c>
      <c r="AF44" s="84" t="e">
        <f t="shared" si="40"/>
        <v>#VALUE!</v>
      </c>
      <c r="AG44" s="84" t="e">
        <f t="shared" si="40"/>
        <v>#VALUE!</v>
      </c>
      <c r="AH44" s="84" t="e">
        <f t="shared" si="40"/>
        <v>#VALUE!</v>
      </c>
      <c r="AI44" s="84" t="e">
        <f t="shared" si="40"/>
        <v>#VALUE!</v>
      </c>
      <c r="AJ44" s="84" t="e">
        <f>IF('Production Data-Table'!M54="",#N/A,'Production Data-Table'!M54)</f>
        <v>#N/A</v>
      </c>
      <c r="AK44" s="86" t="e">
        <f t="shared" si="4"/>
        <v>#VALUE!</v>
      </c>
      <c r="AL44" s="86" t="e">
        <f t="shared" si="5"/>
        <v>#N/A</v>
      </c>
      <c r="AM44" s="86" t="str">
        <f>Standard!B46</f>
        <v/>
      </c>
      <c r="AN44" s="87" t="e">
        <f>IF('Production Data-Table'!AH54&lt;&gt;"",'Production Data-Table'!AH54,#N/A)</f>
        <v>#N/A</v>
      </c>
      <c r="AO44" s="97" t="e">
        <f>IF('Production Data-Table'!AC55="",#N/A,'Production Data-Table'!AC53*100)</f>
        <v>#N/A</v>
      </c>
      <c r="AP44" s="97" t="e">
        <f>IF('Production Data-Table'!AE55&lt;&gt;"",'Production Data-Table'!AE53*100,#N/A)</f>
        <v>#N/A</v>
      </c>
      <c r="AQ44" s="97" t="e">
        <f>IF('Production Data-Table'!AG55&lt;&gt;"",'Production Data-Table'!AG53*100,#N/A)</f>
        <v>#N/A</v>
      </c>
      <c r="AR44" s="113" t="e">
        <f>Standard!H46/7</f>
        <v>#VALUE!</v>
      </c>
      <c r="AS44" s="113" t="e">
        <f>IF('Production Data-Table'!O53="",#N/A,'Production Data-Table'!O53/7)</f>
        <v>#N/A</v>
      </c>
      <c r="AT44" s="1" t="e">
        <f>IF('Production Data-Table'!G53&lt;&gt;"",'Production Data-Table'!S53,#N/A)</f>
        <v>#N/A</v>
      </c>
      <c r="AU44" s="1" t="e">
        <f>IF('Production Data-Table'!Z53&lt;&gt;"",'Production Data-Table'!Z53,#N/A)</f>
        <v>#N/A</v>
      </c>
    </row>
    <row r="45" spans="2:47" x14ac:dyDescent="0.2">
      <c r="B45" s="1">
        <v>57</v>
      </c>
      <c r="C45" s="93" t="e">
        <f>100-Standard!E47</f>
        <v>#VALUE!</v>
      </c>
      <c r="D45" s="85" t="e">
        <f>IF('Production Data-Table'!E55="",#N/A,'Production Data-Table'!E55*100)</f>
        <v>#N/A</v>
      </c>
      <c r="E45" s="82" t="str">
        <f>Standard!D47</f>
        <v/>
      </c>
      <c r="F45" s="82" t="e">
        <f t="shared" ref="F45:S45" si="50">E45*$E$3</f>
        <v>#VALUE!</v>
      </c>
      <c r="G45" s="82" t="e">
        <f t="shared" si="50"/>
        <v>#VALUE!</v>
      </c>
      <c r="H45" s="82" t="e">
        <f t="shared" si="50"/>
        <v>#VALUE!</v>
      </c>
      <c r="I45" s="82" t="e">
        <f t="shared" si="50"/>
        <v>#VALUE!</v>
      </c>
      <c r="J45" s="82" t="e">
        <f t="shared" si="50"/>
        <v>#VALUE!</v>
      </c>
      <c r="K45" s="82" t="e">
        <f t="shared" si="50"/>
        <v>#VALUE!</v>
      </c>
      <c r="L45" s="82" t="e">
        <f t="shared" si="50"/>
        <v>#VALUE!</v>
      </c>
      <c r="M45" s="82" t="e">
        <f t="shared" si="50"/>
        <v>#VALUE!</v>
      </c>
      <c r="N45" s="82" t="e">
        <f t="shared" si="50"/>
        <v>#VALUE!</v>
      </c>
      <c r="O45" s="82" t="e">
        <f t="shared" si="50"/>
        <v>#VALUE!</v>
      </c>
      <c r="P45" s="82" t="e">
        <f t="shared" si="50"/>
        <v>#VALUE!</v>
      </c>
      <c r="Q45" s="82" t="e">
        <f t="shared" si="50"/>
        <v>#VALUE!</v>
      </c>
      <c r="R45" s="82" t="e">
        <f t="shared" si="50"/>
        <v>#VALUE!</v>
      </c>
      <c r="S45" s="82" t="e">
        <f t="shared" si="50"/>
        <v>#VALUE!</v>
      </c>
      <c r="T45" s="83" t="e">
        <f>IF('Production Data-Table'!H55="",#N/A,'Production Data-Table'!H55)</f>
        <v>#N/A</v>
      </c>
      <c r="U45" s="84" t="e">
        <f t="shared" si="44"/>
        <v>#VALUE!</v>
      </c>
      <c r="V45" s="84" t="e">
        <f t="shared" si="39"/>
        <v>#VALUE!</v>
      </c>
      <c r="W45" s="84" t="e">
        <f t="shared" si="39"/>
        <v>#VALUE!</v>
      </c>
      <c r="X45" s="84" t="e">
        <f t="shared" si="39"/>
        <v>#VALUE!</v>
      </c>
      <c r="Y45" s="84" t="e">
        <f t="shared" si="39"/>
        <v>#VALUE!</v>
      </c>
      <c r="Z45" s="84" t="e">
        <f t="shared" si="39"/>
        <v>#VALUE!</v>
      </c>
      <c r="AA45" s="84" t="e">
        <f t="shared" si="39"/>
        <v>#VALUE!</v>
      </c>
      <c r="AB45" s="84" t="str">
        <f>Standard!G47</f>
        <v/>
      </c>
      <c r="AC45" s="84" t="e">
        <f t="shared" si="40"/>
        <v>#VALUE!</v>
      </c>
      <c r="AD45" s="84" t="e">
        <f t="shared" si="40"/>
        <v>#VALUE!</v>
      </c>
      <c r="AE45" s="84" t="e">
        <f t="shared" si="40"/>
        <v>#VALUE!</v>
      </c>
      <c r="AF45" s="84" t="e">
        <f t="shared" si="40"/>
        <v>#VALUE!</v>
      </c>
      <c r="AG45" s="84" t="e">
        <f t="shared" si="40"/>
        <v>#VALUE!</v>
      </c>
      <c r="AH45" s="84" t="e">
        <f t="shared" si="40"/>
        <v>#VALUE!</v>
      </c>
      <c r="AI45" s="84" t="e">
        <f t="shared" si="40"/>
        <v>#VALUE!</v>
      </c>
      <c r="AJ45" s="84" t="e">
        <f>IF('Production Data-Table'!M55="",#N/A,'Production Data-Table'!M55)</f>
        <v>#N/A</v>
      </c>
      <c r="AK45" s="86" t="e">
        <f t="shared" si="4"/>
        <v>#VALUE!</v>
      </c>
      <c r="AL45" s="86" t="e">
        <f t="shared" si="5"/>
        <v>#N/A</v>
      </c>
      <c r="AM45" s="86" t="str">
        <f>Standard!B47</f>
        <v/>
      </c>
      <c r="AN45" s="87" t="e">
        <f>IF('Production Data-Table'!AH55&lt;&gt;"",'Production Data-Table'!AH55,#N/A)</f>
        <v>#N/A</v>
      </c>
      <c r="AO45" s="97" t="e">
        <f>IF('Production Data-Table'!AC56="",#N/A,'Production Data-Table'!AC54*100)</f>
        <v>#N/A</v>
      </c>
      <c r="AP45" s="97" t="e">
        <f>IF('Production Data-Table'!AE56&lt;&gt;"",'Production Data-Table'!AE54*100,#N/A)</f>
        <v>#N/A</v>
      </c>
      <c r="AQ45" s="97" t="e">
        <f>IF('Production Data-Table'!AG56&lt;&gt;"",'Production Data-Table'!AG54*100,#N/A)</f>
        <v>#N/A</v>
      </c>
      <c r="AR45" s="113" t="e">
        <f>Standard!H47/7</f>
        <v>#VALUE!</v>
      </c>
      <c r="AS45" s="113" t="e">
        <f>IF('Production Data-Table'!O54="",#N/A,'Production Data-Table'!O54/7)</f>
        <v>#N/A</v>
      </c>
      <c r="AT45" s="1" t="e">
        <f>IF('Production Data-Table'!G54&lt;&gt;"",'Production Data-Table'!S54,#N/A)</f>
        <v>#N/A</v>
      </c>
      <c r="AU45" s="1" t="e">
        <f>IF('Production Data-Table'!Z54&lt;&gt;"",'Production Data-Table'!Z54,#N/A)</f>
        <v>#N/A</v>
      </c>
    </row>
    <row r="46" spans="2:47" x14ac:dyDescent="0.2">
      <c r="B46" s="1">
        <v>58</v>
      </c>
      <c r="C46" s="93" t="e">
        <f>100-Standard!E48</f>
        <v>#VALUE!</v>
      </c>
      <c r="D46" s="85" t="e">
        <f>IF('Production Data-Table'!E56="",#N/A,'Production Data-Table'!E56*100)</f>
        <v>#N/A</v>
      </c>
      <c r="E46" s="82" t="str">
        <f>Standard!D48</f>
        <v/>
      </c>
      <c r="F46" s="82" t="e">
        <f t="shared" ref="F46:S46" si="51">E46*$E$3</f>
        <v>#VALUE!</v>
      </c>
      <c r="G46" s="82" t="e">
        <f t="shared" si="51"/>
        <v>#VALUE!</v>
      </c>
      <c r="H46" s="82" t="e">
        <f t="shared" si="51"/>
        <v>#VALUE!</v>
      </c>
      <c r="I46" s="82" t="e">
        <f t="shared" si="51"/>
        <v>#VALUE!</v>
      </c>
      <c r="J46" s="82" t="e">
        <f t="shared" si="51"/>
        <v>#VALUE!</v>
      </c>
      <c r="K46" s="82" t="e">
        <f t="shared" si="51"/>
        <v>#VALUE!</v>
      </c>
      <c r="L46" s="82" t="e">
        <f t="shared" si="51"/>
        <v>#VALUE!</v>
      </c>
      <c r="M46" s="82" t="e">
        <f t="shared" si="51"/>
        <v>#VALUE!</v>
      </c>
      <c r="N46" s="82" t="e">
        <f t="shared" si="51"/>
        <v>#VALUE!</v>
      </c>
      <c r="O46" s="82" t="e">
        <f t="shared" si="51"/>
        <v>#VALUE!</v>
      </c>
      <c r="P46" s="82" t="e">
        <f t="shared" si="51"/>
        <v>#VALUE!</v>
      </c>
      <c r="Q46" s="82" t="e">
        <f t="shared" si="51"/>
        <v>#VALUE!</v>
      </c>
      <c r="R46" s="82" t="e">
        <f t="shared" si="51"/>
        <v>#VALUE!</v>
      </c>
      <c r="S46" s="82" t="e">
        <f t="shared" si="51"/>
        <v>#VALUE!</v>
      </c>
      <c r="T46" s="83" t="e">
        <f>IF('Production Data-Table'!H56="",#N/A,'Production Data-Table'!H56)</f>
        <v>#N/A</v>
      </c>
      <c r="U46" s="84" t="e">
        <f t="shared" si="44"/>
        <v>#VALUE!</v>
      </c>
      <c r="V46" s="84" t="e">
        <f t="shared" ref="V46:AA55" si="52">W46*$V$3</f>
        <v>#VALUE!</v>
      </c>
      <c r="W46" s="84" t="e">
        <f t="shared" si="52"/>
        <v>#VALUE!</v>
      </c>
      <c r="X46" s="84" t="e">
        <f t="shared" si="52"/>
        <v>#VALUE!</v>
      </c>
      <c r="Y46" s="84" t="e">
        <f t="shared" si="52"/>
        <v>#VALUE!</v>
      </c>
      <c r="Z46" s="84" t="e">
        <f t="shared" si="52"/>
        <v>#VALUE!</v>
      </c>
      <c r="AA46" s="84" t="e">
        <f t="shared" si="52"/>
        <v>#VALUE!</v>
      </c>
      <c r="AB46" s="84" t="str">
        <f>Standard!G48</f>
        <v/>
      </c>
      <c r="AC46" s="84" t="e">
        <f t="shared" ref="AC46:AI55" si="53">AB46*$U$3</f>
        <v>#VALUE!</v>
      </c>
      <c r="AD46" s="84" t="e">
        <f t="shared" si="53"/>
        <v>#VALUE!</v>
      </c>
      <c r="AE46" s="84" t="e">
        <f t="shared" si="53"/>
        <v>#VALUE!</v>
      </c>
      <c r="AF46" s="84" t="e">
        <f t="shared" si="53"/>
        <v>#VALUE!</v>
      </c>
      <c r="AG46" s="84" t="e">
        <f t="shared" si="53"/>
        <v>#VALUE!</v>
      </c>
      <c r="AH46" s="84" t="e">
        <f t="shared" si="53"/>
        <v>#VALUE!</v>
      </c>
      <c r="AI46" s="84" t="e">
        <f t="shared" si="53"/>
        <v>#VALUE!</v>
      </c>
      <c r="AJ46" s="84" t="e">
        <f>IF('Production Data-Table'!M56="",#N/A,'Production Data-Table'!M56)</f>
        <v>#N/A</v>
      </c>
      <c r="AK46" s="86" t="e">
        <f t="shared" si="4"/>
        <v>#VALUE!</v>
      </c>
      <c r="AL46" s="86" t="e">
        <f t="shared" si="5"/>
        <v>#N/A</v>
      </c>
      <c r="AM46" s="86" t="str">
        <f>Standard!B48</f>
        <v/>
      </c>
      <c r="AN46" s="87" t="e">
        <f>IF('Production Data-Table'!AH56&lt;&gt;"",'Production Data-Table'!AH56,#N/A)</f>
        <v>#N/A</v>
      </c>
      <c r="AO46" s="97" t="e">
        <f>IF('Production Data-Table'!AC57="",#N/A,'Production Data-Table'!AC55*100)</f>
        <v>#N/A</v>
      </c>
      <c r="AP46" s="97" t="e">
        <f>IF('Production Data-Table'!AE57&lt;&gt;"",'Production Data-Table'!AE55*100,#N/A)</f>
        <v>#N/A</v>
      </c>
      <c r="AQ46" s="97" t="e">
        <f>IF('Production Data-Table'!AG57&lt;&gt;"",'Production Data-Table'!AG55*100,#N/A)</f>
        <v>#N/A</v>
      </c>
      <c r="AR46" s="113" t="e">
        <f>Standard!H48/7</f>
        <v>#VALUE!</v>
      </c>
      <c r="AS46" s="113" t="e">
        <f>IF('Production Data-Table'!O55="",#N/A,'Production Data-Table'!O55/7)</f>
        <v>#N/A</v>
      </c>
      <c r="AT46" s="1" t="e">
        <f>IF('Production Data-Table'!G55&lt;&gt;"",'Production Data-Table'!S55,#N/A)</f>
        <v>#N/A</v>
      </c>
      <c r="AU46" s="1" t="e">
        <f>IF('Production Data-Table'!Z55&lt;&gt;"",'Production Data-Table'!Z55,#N/A)</f>
        <v>#N/A</v>
      </c>
    </row>
    <row r="47" spans="2:47" x14ac:dyDescent="0.2">
      <c r="B47" s="1">
        <v>59</v>
      </c>
      <c r="C47" s="93" t="e">
        <f>100-Standard!E49</f>
        <v>#VALUE!</v>
      </c>
      <c r="D47" s="85" t="e">
        <f>IF('Production Data-Table'!E57="",#N/A,'Production Data-Table'!E57*100)</f>
        <v>#N/A</v>
      </c>
      <c r="E47" s="82" t="str">
        <f>Standard!D49</f>
        <v/>
      </c>
      <c r="F47" s="82" t="e">
        <f t="shared" ref="F47:S47" si="54">E47*$E$3</f>
        <v>#VALUE!</v>
      </c>
      <c r="G47" s="82" t="e">
        <f t="shared" si="54"/>
        <v>#VALUE!</v>
      </c>
      <c r="H47" s="82" t="e">
        <f t="shared" si="54"/>
        <v>#VALUE!</v>
      </c>
      <c r="I47" s="82" t="e">
        <f t="shared" si="54"/>
        <v>#VALUE!</v>
      </c>
      <c r="J47" s="82" t="e">
        <f t="shared" si="54"/>
        <v>#VALUE!</v>
      </c>
      <c r="K47" s="82" t="e">
        <f t="shared" si="54"/>
        <v>#VALUE!</v>
      </c>
      <c r="L47" s="82" t="e">
        <f t="shared" si="54"/>
        <v>#VALUE!</v>
      </c>
      <c r="M47" s="82" t="e">
        <f t="shared" si="54"/>
        <v>#VALUE!</v>
      </c>
      <c r="N47" s="82" t="e">
        <f t="shared" si="54"/>
        <v>#VALUE!</v>
      </c>
      <c r="O47" s="82" t="e">
        <f t="shared" si="54"/>
        <v>#VALUE!</v>
      </c>
      <c r="P47" s="82" t="e">
        <f t="shared" si="54"/>
        <v>#VALUE!</v>
      </c>
      <c r="Q47" s="82" t="e">
        <f t="shared" si="54"/>
        <v>#VALUE!</v>
      </c>
      <c r="R47" s="82" t="e">
        <f t="shared" si="54"/>
        <v>#VALUE!</v>
      </c>
      <c r="S47" s="82" t="e">
        <f t="shared" si="54"/>
        <v>#VALUE!</v>
      </c>
      <c r="T47" s="83" t="e">
        <f>IF('Production Data-Table'!H57="",#N/A,'Production Data-Table'!H57)</f>
        <v>#N/A</v>
      </c>
      <c r="U47" s="84" t="e">
        <f t="shared" si="44"/>
        <v>#VALUE!</v>
      </c>
      <c r="V47" s="84" t="e">
        <f t="shared" si="52"/>
        <v>#VALUE!</v>
      </c>
      <c r="W47" s="84" t="e">
        <f t="shared" si="52"/>
        <v>#VALUE!</v>
      </c>
      <c r="X47" s="84" t="e">
        <f t="shared" si="52"/>
        <v>#VALUE!</v>
      </c>
      <c r="Y47" s="84" t="e">
        <f t="shared" si="52"/>
        <v>#VALUE!</v>
      </c>
      <c r="Z47" s="84" t="e">
        <f t="shared" si="52"/>
        <v>#VALUE!</v>
      </c>
      <c r="AA47" s="84" t="e">
        <f t="shared" si="52"/>
        <v>#VALUE!</v>
      </c>
      <c r="AB47" s="84" t="str">
        <f>Standard!G49</f>
        <v/>
      </c>
      <c r="AC47" s="84" t="e">
        <f t="shared" si="53"/>
        <v>#VALUE!</v>
      </c>
      <c r="AD47" s="84" t="e">
        <f t="shared" si="53"/>
        <v>#VALUE!</v>
      </c>
      <c r="AE47" s="84" t="e">
        <f t="shared" si="53"/>
        <v>#VALUE!</v>
      </c>
      <c r="AF47" s="84" t="e">
        <f t="shared" si="53"/>
        <v>#VALUE!</v>
      </c>
      <c r="AG47" s="84" t="e">
        <f t="shared" si="53"/>
        <v>#VALUE!</v>
      </c>
      <c r="AH47" s="84" t="e">
        <f t="shared" si="53"/>
        <v>#VALUE!</v>
      </c>
      <c r="AI47" s="84" t="e">
        <f t="shared" si="53"/>
        <v>#VALUE!</v>
      </c>
      <c r="AJ47" s="84" t="e">
        <f>IF('Production Data-Table'!M57="",#N/A,'Production Data-Table'!M57)</f>
        <v>#N/A</v>
      </c>
      <c r="AK47" s="86" t="e">
        <f t="shared" si="4"/>
        <v>#VALUE!</v>
      </c>
      <c r="AL47" s="86" t="e">
        <f t="shared" si="5"/>
        <v>#N/A</v>
      </c>
      <c r="AM47" s="86" t="str">
        <f>Standard!B49</f>
        <v/>
      </c>
      <c r="AN47" s="87" t="e">
        <f>IF('Production Data-Table'!AH57&lt;&gt;"",'Production Data-Table'!AH57,#N/A)</f>
        <v>#N/A</v>
      </c>
      <c r="AO47" s="97" t="e">
        <f>IF('Production Data-Table'!AC58="",#N/A,'Production Data-Table'!AC56*100)</f>
        <v>#N/A</v>
      </c>
      <c r="AP47" s="97" t="e">
        <f>IF('Production Data-Table'!AE58&lt;&gt;"",'Production Data-Table'!AE56*100,#N/A)</f>
        <v>#N/A</v>
      </c>
      <c r="AQ47" s="97" t="e">
        <f>IF('Production Data-Table'!AG58&lt;&gt;"",'Production Data-Table'!AG56*100,#N/A)</f>
        <v>#N/A</v>
      </c>
      <c r="AR47" s="113" t="e">
        <f>Standard!H49/7</f>
        <v>#VALUE!</v>
      </c>
      <c r="AS47" s="113" t="e">
        <f>IF('Production Data-Table'!O56="",#N/A,'Production Data-Table'!O56/7)</f>
        <v>#N/A</v>
      </c>
      <c r="AT47" s="1" t="e">
        <f>IF('Production Data-Table'!G56&lt;&gt;"",'Production Data-Table'!S56,#N/A)</f>
        <v>#N/A</v>
      </c>
      <c r="AU47" s="1" t="e">
        <f>IF('Production Data-Table'!Z56&lt;&gt;"",'Production Data-Table'!Z56,#N/A)</f>
        <v>#N/A</v>
      </c>
    </row>
    <row r="48" spans="2:47" x14ac:dyDescent="0.2">
      <c r="B48" s="1">
        <v>60</v>
      </c>
      <c r="C48" s="93" t="e">
        <f>100-Standard!E50</f>
        <v>#VALUE!</v>
      </c>
      <c r="D48" s="85" t="e">
        <f>IF('Production Data-Table'!E58="",#N/A,'Production Data-Table'!E58*100)</f>
        <v>#N/A</v>
      </c>
      <c r="E48" s="82" t="str">
        <f>Standard!D50</f>
        <v/>
      </c>
      <c r="F48" s="82" t="e">
        <f t="shared" ref="F48:S48" si="55">E48*$E$3</f>
        <v>#VALUE!</v>
      </c>
      <c r="G48" s="82" t="e">
        <f t="shared" si="55"/>
        <v>#VALUE!</v>
      </c>
      <c r="H48" s="82" t="e">
        <f t="shared" si="55"/>
        <v>#VALUE!</v>
      </c>
      <c r="I48" s="82" t="e">
        <f t="shared" si="55"/>
        <v>#VALUE!</v>
      </c>
      <c r="J48" s="82" t="e">
        <f t="shared" si="55"/>
        <v>#VALUE!</v>
      </c>
      <c r="K48" s="82" t="e">
        <f t="shared" si="55"/>
        <v>#VALUE!</v>
      </c>
      <c r="L48" s="82" t="e">
        <f t="shared" si="55"/>
        <v>#VALUE!</v>
      </c>
      <c r="M48" s="82" t="e">
        <f t="shared" si="55"/>
        <v>#VALUE!</v>
      </c>
      <c r="N48" s="82" t="e">
        <f t="shared" si="55"/>
        <v>#VALUE!</v>
      </c>
      <c r="O48" s="82" t="e">
        <f t="shared" si="55"/>
        <v>#VALUE!</v>
      </c>
      <c r="P48" s="82" t="e">
        <f t="shared" si="55"/>
        <v>#VALUE!</v>
      </c>
      <c r="Q48" s="82" t="e">
        <f t="shared" si="55"/>
        <v>#VALUE!</v>
      </c>
      <c r="R48" s="82" t="e">
        <f t="shared" si="55"/>
        <v>#VALUE!</v>
      </c>
      <c r="S48" s="82" t="e">
        <f t="shared" si="55"/>
        <v>#VALUE!</v>
      </c>
      <c r="T48" s="83" t="e">
        <f>IF('Production Data-Table'!H58="",#N/A,'Production Data-Table'!H58)</f>
        <v>#N/A</v>
      </c>
      <c r="U48" s="84" t="e">
        <f t="shared" si="44"/>
        <v>#VALUE!</v>
      </c>
      <c r="V48" s="84" t="e">
        <f t="shared" si="52"/>
        <v>#VALUE!</v>
      </c>
      <c r="W48" s="84" t="e">
        <f t="shared" si="52"/>
        <v>#VALUE!</v>
      </c>
      <c r="X48" s="84" t="e">
        <f t="shared" si="52"/>
        <v>#VALUE!</v>
      </c>
      <c r="Y48" s="84" t="e">
        <f t="shared" si="52"/>
        <v>#VALUE!</v>
      </c>
      <c r="Z48" s="84" t="e">
        <f t="shared" si="52"/>
        <v>#VALUE!</v>
      </c>
      <c r="AA48" s="84" t="e">
        <f t="shared" si="52"/>
        <v>#VALUE!</v>
      </c>
      <c r="AB48" s="84" t="str">
        <f>Standard!G50</f>
        <v/>
      </c>
      <c r="AC48" s="84" t="e">
        <f t="shared" si="53"/>
        <v>#VALUE!</v>
      </c>
      <c r="AD48" s="84" t="e">
        <f t="shared" si="53"/>
        <v>#VALUE!</v>
      </c>
      <c r="AE48" s="84" t="e">
        <f t="shared" si="53"/>
        <v>#VALUE!</v>
      </c>
      <c r="AF48" s="84" t="e">
        <f t="shared" si="53"/>
        <v>#VALUE!</v>
      </c>
      <c r="AG48" s="84" t="e">
        <f t="shared" si="53"/>
        <v>#VALUE!</v>
      </c>
      <c r="AH48" s="84" t="e">
        <f t="shared" si="53"/>
        <v>#VALUE!</v>
      </c>
      <c r="AI48" s="84" t="e">
        <f t="shared" si="53"/>
        <v>#VALUE!</v>
      </c>
      <c r="AJ48" s="84" t="e">
        <f>IF('Production Data-Table'!M58="",#N/A,'Production Data-Table'!M58)</f>
        <v>#N/A</v>
      </c>
      <c r="AK48" s="86" t="e">
        <f t="shared" si="4"/>
        <v>#VALUE!</v>
      </c>
      <c r="AL48" s="86" t="e">
        <f t="shared" si="5"/>
        <v>#N/A</v>
      </c>
      <c r="AM48" s="86" t="str">
        <f>Standard!B50</f>
        <v/>
      </c>
      <c r="AN48" s="87" t="e">
        <f>IF('Production Data-Table'!AH58&lt;&gt;"",'Production Data-Table'!AH58,#N/A)</f>
        <v>#N/A</v>
      </c>
      <c r="AO48" s="97" t="e">
        <f>IF('Production Data-Table'!AC59="",#N/A,'Production Data-Table'!AC57*100)</f>
        <v>#N/A</v>
      </c>
      <c r="AP48" s="97" t="e">
        <f>IF('Production Data-Table'!AE59&lt;&gt;"",'Production Data-Table'!AE57*100,#N/A)</f>
        <v>#N/A</v>
      </c>
      <c r="AQ48" s="97" t="e">
        <f>IF('Production Data-Table'!AG59&lt;&gt;"",'Production Data-Table'!AG57*100,#N/A)</f>
        <v>#N/A</v>
      </c>
      <c r="AR48" s="113" t="e">
        <f>Standard!H50/7</f>
        <v>#VALUE!</v>
      </c>
      <c r="AS48" s="113" t="e">
        <f>IF('Production Data-Table'!O57="",#N/A,'Production Data-Table'!O57/7)</f>
        <v>#N/A</v>
      </c>
      <c r="AT48" s="1" t="e">
        <f>IF('Production Data-Table'!G57&lt;&gt;"",'Production Data-Table'!S57,#N/A)</f>
        <v>#N/A</v>
      </c>
      <c r="AU48" s="1" t="e">
        <f>IF('Production Data-Table'!Z57&lt;&gt;"",'Production Data-Table'!Z57,#N/A)</f>
        <v>#N/A</v>
      </c>
    </row>
    <row r="49" spans="2:47" x14ac:dyDescent="0.2">
      <c r="B49" s="1">
        <v>61</v>
      </c>
      <c r="C49" s="93" t="e">
        <f>100-Standard!E51</f>
        <v>#VALUE!</v>
      </c>
      <c r="D49" s="85" t="e">
        <f>IF('Production Data-Table'!E59="",#N/A,'Production Data-Table'!E59*100)</f>
        <v>#N/A</v>
      </c>
      <c r="E49" s="82" t="str">
        <f>Standard!D51</f>
        <v/>
      </c>
      <c r="F49" s="82" t="e">
        <f t="shared" ref="F49:S49" si="56">E49*$E$3</f>
        <v>#VALUE!</v>
      </c>
      <c r="G49" s="82" t="e">
        <f t="shared" si="56"/>
        <v>#VALUE!</v>
      </c>
      <c r="H49" s="82" t="e">
        <f t="shared" si="56"/>
        <v>#VALUE!</v>
      </c>
      <c r="I49" s="82" t="e">
        <f t="shared" si="56"/>
        <v>#VALUE!</v>
      </c>
      <c r="J49" s="82" t="e">
        <f t="shared" si="56"/>
        <v>#VALUE!</v>
      </c>
      <c r="K49" s="82" t="e">
        <f t="shared" si="56"/>
        <v>#VALUE!</v>
      </c>
      <c r="L49" s="82" t="e">
        <f t="shared" si="56"/>
        <v>#VALUE!</v>
      </c>
      <c r="M49" s="82" t="e">
        <f t="shared" si="56"/>
        <v>#VALUE!</v>
      </c>
      <c r="N49" s="82" t="e">
        <f t="shared" si="56"/>
        <v>#VALUE!</v>
      </c>
      <c r="O49" s="82" t="e">
        <f t="shared" si="56"/>
        <v>#VALUE!</v>
      </c>
      <c r="P49" s="82" t="e">
        <f t="shared" si="56"/>
        <v>#VALUE!</v>
      </c>
      <c r="Q49" s="82" t="e">
        <f t="shared" si="56"/>
        <v>#VALUE!</v>
      </c>
      <c r="R49" s="82" t="e">
        <f t="shared" si="56"/>
        <v>#VALUE!</v>
      </c>
      <c r="S49" s="82" t="e">
        <f t="shared" si="56"/>
        <v>#VALUE!</v>
      </c>
      <c r="T49" s="83" t="e">
        <f>IF('Production Data-Table'!H59="",#N/A,'Production Data-Table'!H59)</f>
        <v>#N/A</v>
      </c>
      <c r="U49" s="84" t="e">
        <f t="shared" si="44"/>
        <v>#VALUE!</v>
      </c>
      <c r="V49" s="84" t="e">
        <f t="shared" si="52"/>
        <v>#VALUE!</v>
      </c>
      <c r="W49" s="84" t="e">
        <f t="shared" si="52"/>
        <v>#VALUE!</v>
      </c>
      <c r="X49" s="84" t="e">
        <f t="shared" si="52"/>
        <v>#VALUE!</v>
      </c>
      <c r="Y49" s="84" t="e">
        <f t="shared" si="52"/>
        <v>#VALUE!</v>
      </c>
      <c r="Z49" s="84" t="e">
        <f t="shared" si="52"/>
        <v>#VALUE!</v>
      </c>
      <c r="AA49" s="84" t="e">
        <f t="shared" si="52"/>
        <v>#VALUE!</v>
      </c>
      <c r="AB49" s="84" t="str">
        <f>Standard!G51</f>
        <v/>
      </c>
      <c r="AC49" s="84" t="e">
        <f t="shared" si="53"/>
        <v>#VALUE!</v>
      </c>
      <c r="AD49" s="84" t="e">
        <f t="shared" si="53"/>
        <v>#VALUE!</v>
      </c>
      <c r="AE49" s="84" t="e">
        <f t="shared" si="53"/>
        <v>#VALUE!</v>
      </c>
      <c r="AF49" s="84" t="e">
        <f t="shared" si="53"/>
        <v>#VALUE!</v>
      </c>
      <c r="AG49" s="84" t="e">
        <f t="shared" si="53"/>
        <v>#VALUE!</v>
      </c>
      <c r="AH49" s="84" t="e">
        <f t="shared" si="53"/>
        <v>#VALUE!</v>
      </c>
      <c r="AI49" s="84" t="e">
        <f t="shared" si="53"/>
        <v>#VALUE!</v>
      </c>
      <c r="AJ49" s="84" t="e">
        <f>IF('Production Data-Table'!M59="",#N/A,'Production Data-Table'!M59)</f>
        <v>#N/A</v>
      </c>
      <c r="AK49" s="86" t="e">
        <f t="shared" si="4"/>
        <v>#VALUE!</v>
      </c>
      <c r="AL49" s="86" t="e">
        <f t="shared" si="5"/>
        <v>#N/A</v>
      </c>
      <c r="AM49" s="86" t="str">
        <f>Standard!B51</f>
        <v/>
      </c>
      <c r="AN49" s="87" t="e">
        <f>IF('Production Data-Table'!AH59&lt;&gt;"",'Production Data-Table'!AH59,#N/A)</f>
        <v>#N/A</v>
      </c>
      <c r="AO49" s="97" t="e">
        <f>IF('Production Data-Table'!AC60="",#N/A,'Production Data-Table'!AC58*100)</f>
        <v>#N/A</v>
      </c>
      <c r="AP49" s="97" t="e">
        <f>IF('Production Data-Table'!AE60&lt;&gt;"",'Production Data-Table'!AE58*100,#N/A)</f>
        <v>#N/A</v>
      </c>
      <c r="AQ49" s="97" t="e">
        <f>IF('Production Data-Table'!AG60&lt;&gt;"",'Production Data-Table'!AG58*100,#N/A)</f>
        <v>#N/A</v>
      </c>
      <c r="AR49" s="113" t="e">
        <f>Standard!H51/7</f>
        <v>#VALUE!</v>
      </c>
      <c r="AS49" s="113" t="e">
        <f>IF('Production Data-Table'!O58="",#N/A,'Production Data-Table'!O58/7)</f>
        <v>#N/A</v>
      </c>
      <c r="AT49" s="1" t="e">
        <f>IF('Production Data-Table'!G58&lt;&gt;"",'Production Data-Table'!S58,#N/A)</f>
        <v>#N/A</v>
      </c>
      <c r="AU49" s="1" t="e">
        <f>IF('Production Data-Table'!Z58&lt;&gt;"",'Production Data-Table'!Z58,#N/A)</f>
        <v>#N/A</v>
      </c>
    </row>
    <row r="50" spans="2:47" x14ac:dyDescent="0.2">
      <c r="B50" s="1">
        <v>62</v>
      </c>
      <c r="C50" s="93" t="e">
        <f>100-Standard!E52</f>
        <v>#VALUE!</v>
      </c>
      <c r="D50" s="85" t="e">
        <f>IF('Production Data-Table'!E60="",#N/A,'Production Data-Table'!E60*100)</f>
        <v>#N/A</v>
      </c>
      <c r="E50" s="82" t="str">
        <f>Standard!D52</f>
        <v/>
      </c>
      <c r="F50" s="82" t="e">
        <f t="shared" ref="F50:S50" si="57">E50*$E$3</f>
        <v>#VALUE!</v>
      </c>
      <c r="G50" s="82" t="e">
        <f t="shared" si="57"/>
        <v>#VALUE!</v>
      </c>
      <c r="H50" s="82" t="e">
        <f t="shared" si="57"/>
        <v>#VALUE!</v>
      </c>
      <c r="I50" s="82" t="e">
        <f t="shared" si="57"/>
        <v>#VALUE!</v>
      </c>
      <c r="J50" s="82" t="e">
        <f t="shared" si="57"/>
        <v>#VALUE!</v>
      </c>
      <c r="K50" s="82" t="e">
        <f t="shared" si="57"/>
        <v>#VALUE!</v>
      </c>
      <c r="L50" s="82" t="e">
        <f t="shared" si="57"/>
        <v>#VALUE!</v>
      </c>
      <c r="M50" s="82" t="e">
        <f t="shared" si="57"/>
        <v>#VALUE!</v>
      </c>
      <c r="N50" s="82" t="e">
        <f t="shared" si="57"/>
        <v>#VALUE!</v>
      </c>
      <c r="O50" s="82" t="e">
        <f t="shared" si="57"/>
        <v>#VALUE!</v>
      </c>
      <c r="P50" s="82" t="e">
        <f t="shared" si="57"/>
        <v>#VALUE!</v>
      </c>
      <c r="Q50" s="82" t="e">
        <f t="shared" si="57"/>
        <v>#VALUE!</v>
      </c>
      <c r="R50" s="82" t="e">
        <f t="shared" si="57"/>
        <v>#VALUE!</v>
      </c>
      <c r="S50" s="82" t="e">
        <f t="shared" si="57"/>
        <v>#VALUE!</v>
      </c>
      <c r="T50" s="83" t="e">
        <f>IF('Production Data-Table'!H60="",#N/A,'Production Data-Table'!H60)</f>
        <v>#N/A</v>
      </c>
      <c r="U50" s="84" t="e">
        <f t="shared" si="44"/>
        <v>#VALUE!</v>
      </c>
      <c r="V50" s="84" t="e">
        <f t="shared" si="52"/>
        <v>#VALUE!</v>
      </c>
      <c r="W50" s="84" t="e">
        <f t="shared" si="52"/>
        <v>#VALUE!</v>
      </c>
      <c r="X50" s="84" t="e">
        <f t="shared" si="52"/>
        <v>#VALUE!</v>
      </c>
      <c r="Y50" s="84" t="e">
        <f t="shared" si="52"/>
        <v>#VALUE!</v>
      </c>
      <c r="Z50" s="84" t="e">
        <f t="shared" si="52"/>
        <v>#VALUE!</v>
      </c>
      <c r="AA50" s="84" t="e">
        <f t="shared" si="52"/>
        <v>#VALUE!</v>
      </c>
      <c r="AB50" s="84" t="str">
        <f>Standard!G52</f>
        <v/>
      </c>
      <c r="AC50" s="84" t="e">
        <f t="shared" si="53"/>
        <v>#VALUE!</v>
      </c>
      <c r="AD50" s="84" t="e">
        <f t="shared" si="53"/>
        <v>#VALUE!</v>
      </c>
      <c r="AE50" s="84" t="e">
        <f t="shared" si="53"/>
        <v>#VALUE!</v>
      </c>
      <c r="AF50" s="84" t="e">
        <f t="shared" si="53"/>
        <v>#VALUE!</v>
      </c>
      <c r="AG50" s="84" t="e">
        <f t="shared" si="53"/>
        <v>#VALUE!</v>
      </c>
      <c r="AH50" s="84" t="e">
        <f t="shared" si="53"/>
        <v>#VALUE!</v>
      </c>
      <c r="AI50" s="84" t="e">
        <f t="shared" si="53"/>
        <v>#VALUE!</v>
      </c>
      <c r="AJ50" s="84" t="e">
        <f>IF('Production Data-Table'!M60="",#N/A,'Production Data-Table'!M60)</f>
        <v>#N/A</v>
      </c>
      <c r="AK50" s="86" t="e">
        <f t="shared" si="4"/>
        <v>#VALUE!</v>
      </c>
      <c r="AL50" s="86" t="e">
        <f t="shared" si="5"/>
        <v>#N/A</v>
      </c>
      <c r="AM50" s="86" t="str">
        <f>Standard!B52</f>
        <v/>
      </c>
      <c r="AN50" s="87" t="e">
        <f>IF('Production Data-Table'!AH60&lt;&gt;"",'Production Data-Table'!AH60,#N/A)</f>
        <v>#N/A</v>
      </c>
      <c r="AO50" s="97" t="e">
        <f>IF('Production Data-Table'!AC61="",#N/A,'Production Data-Table'!AC59*100)</f>
        <v>#N/A</v>
      </c>
      <c r="AP50" s="97" t="e">
        <f>IF('Production Data-Table'!AE61&lt;&gt;"",'Production Data-Table'!AE59*100,#N/A)</f>
        <v>#N/A</v>
      </c>
      <c r="AQ50" s="97" t="e">
        <f>IF('Production Data-Table'!AG61&lt;&gt;"",'Production Data-Table'!AG59*100,#N/A)</f>
        <v>#N/A</v>
      </c>
      <c r="AR50" s="113" t="e">
        <f>Standard!H52/7</f>
        <v>#VALUE!</v>
      </c>
      <c r="AS50" s="113" t="e">
        <f>IF('Production Data-Table'!O59="",#N/A,'Production Data-Table'!O59/7)</f>
        <v>#N/A</v>
      </c>
      <c r="AT50" s="1" t="e">
        <f>IF('Production Data-Table'!G59&lt;&gt;"",'Production Data-Table'!S59,#N/A)</f>
        <v>#N/A</v>
      </c>
      <c r="AU50" s="1" t="e">
        <f>IF('Production Data-Table'!Z59&lt;&gt;"",'Production Data-Table'!Z59,#N/A)</f>
        <v>#N/A</v>
      </c>
    </row>
    <row r="51" spans="2:47" x14ac:dyDescent="0.2">
      <c r="B51" s="1">
        <v>63</v>
      </c>
      <c r="C51" s="93" t="e">
        <f>100-Standard!E53</f>
        <v>#VALUE!</v>
      </c>
      <c r="D51" s="85" t="e">
        <f>IF('Production Data-Table'!E61="",#N/A,'Production Data-Table'!E61*100)</f>
        <v>#N/A</v>
      </c>
      <c r="E51" s="82" t="str">
        <f>Standard!D53</f>
        <v/>
      </c>
      <c r="F51" s="82" t="e">
        <f t="shared" ref="F51:S51" si="58">E51*$E$3</f>
        <v>#VALUE!</v>
      </c>
      <c r="G51" s="82" t="e">
        <f t="shared" si="58"/>
        <v>#VALUE!</v>
      </c>
      <c r="H51" s="82" t="e">
        <f t="shared" si="58"/>
        <v>#VALUE!</v>
      </c>
      <c r="I51" s="82" t="e">
        <f t="shared" si="58"/>
        <v>#VALUE!</v>
      </c>
      <c r="J51" s="82" t="e">
        <f t="shared" si="58"/>
        <v>#VALUE!</v>
      </c>
      <c r="K51" s="82" t="e">
        <f t="shared" si="58"/>
        <v>#VALUE!</v>
      </c>
      <c r="L51" s="82" t="e">
        <f t="shared" si="58"/>
        <v>#VALUE!</v>
      </c>
      <c r="M51" s="82" t="e">
        <f t="shared" si="58"/>
        <v>#VALUE!</v>
      </c>
      <c r="N51" s="82" t="e">
        <f t="shared" si="58"/>
        <v>#VALUE!</v>
      </c>
      <c r="O51" s="82" t="e">
        <f t="shared" si="58"/>
        <v>#VALUE!</v>
      </c>
      <c r="P51" s="82" t="e">
        <f t="shared" si="58"/>
        <v>#VALUE!</v>
      </c>
      <c r="Q51" s="82" t="e">
        <f t="shared" si="58"/>
        <v>#VALUE!</v>
      </c>
      <c r="R51" s="82" t="e">
        <f t="shared" si="58"/>
        <v>#VALUE!</v>
      </c>
      <c r="S51" s="82" t="e">
        <f t="shared" si="58"/>
        <v>#VALUE!</v>
      </c>
      <c r="T51" s="83" t="e">
        <f>IF('Production Data-Table'!H61="",#N/A,'Production Data-Table'!H61)</f>
        <v>#N/A</v>
      </c>
      <c r="U51" s="84" t="e">
        <f t="shared" si="44"/>
        <v>#VALUE!</v>
      </c>
      <c r="V51" s="84" t="e">
        <f t="shared" si="52"/>
        <v>#VALUE!</v>
      </c>
      <c r="W51" s="84" t="e">
        <f t="shared" si="52"/>
        <v>#VALUE!</v>
      </c>
      <c r="X51" s="84" t="e">
        <f t="shared" si="52"/>
        <v>#VALUE!</v>
      </c>
      <c r="Y51" s="84" t="e">
        <f t="shared" si="52"/>
        <v>#VALUE!</v>
      </c>
      <c r="Z51" s="84" t="e">
        <f t="shared" si="52"/>
        <v>#VALUE!</v>
      </c>
      <c r="AA51" s="84" t="e">
        <f t="shared" si="52"/>
        <v>#VALUE!</v>
      </c>
      <c r="AB51" s="84" t="str">
        <f>Standard!G53</f>
        <v/>
      </c>
      <c r="AC51" s="84" t="e">
        <f t="shared" si="53"/>
        <v>#VALUE!</v>
      </c>
      <c r="AD51" s="84" t="e">
        <f t="shared" si="53"/>
        <v>#VALUE!</v>
      </c>
      <c r="AE51" s="84" t="e">
        <f t="shared" si="53"/>
        <v>#VALUE!</v>
      </c>
      <c r="AF51" s="84" t="e">
        <f t="shared" si="53"/>
        <v>#VALUE!</v>
      </c>
      <c r="AG51" s="84" t="e">
        <f t="shared" si="53"/>
        <v>#VALUE!</v>
      </c>
      <c r="AH51" s="84" t="e">
        <f t="shared" si="53"/>
        <v>#VALUE!</v>
      </c>
      <c r="AI51" s="84" t="e">
        <f t="shared" si="53"/>
        <v>#VALUE!</v>
      </c>
      <c r="AJ51" s="84" t="e">
        <f>IF('Production Data-Table'!M61="",#N/A,'Production Data-Table'!M61)</f>
        <v>#N/A</v>
      </c>
      <c r="AK51" s="86" t="e">
        <f t="shared" si="4"/>
        <v>#VALUE!</v>
      </c>
      <c r="AL51" s="86" t="e">
        <f t="shared" si="5"/>
        <v>#N/A</v>
      </c>
      <c r="AM51" s="86" t="str">
        <f>Standard!B53</f>
        <v/>
      </c>
      <c r="AN51" s="87" t="e">
        <f>IF('Production Data-Table'!AH61&lt;&gt;"",'Production Data-Table'!AH61,#N/A)</f>
        <v>#N/A</v>
      </c>
      <c r="AO51" s="97" t="e">
        <f>IF('Production Data-Table'!AC62="",#N/A,'Production Data-Table'!AC60*100)</f>
        <v>#N/A</v>
      </c>
      <c r="AP51" s="97" t="e">
        <f>IF('Production Data-Table'!AE62&lt;&gt;"",'Production Data-Table'!AE60*100,#N/A)</f>
        <v>#N/A</v>
      </c>
      <c r="AQ51" s="97" t="e">
        <f>IF('Production Data-Table'!AG62&lt;&gt;"",'Production Data-Table'!AG60*100,#N/A)</f>
        <v>#N/A</v>
      </c>
      <c r="AR51" s="113" t="e">
        <f>Standard!H53/7</f>
        <v>#VALUE!</v>
      </c>
      <c r="AS51" s="113" t="e">
        <f>IF('Production Data-Table'!O60="",#N/A,'Production Data-Table'!O60/7)</f>
        <v>#N/A</v>
      </c>
      <c r="AT51" s="1" t="e">
        <f>IF('Production Data-Table'!G60&lt;&gt;"",'Production Data-Table'!S60,#N/A)</f>
        <v>#N/A</v>
      </c>
      <c r="AU51" s="1" t="e">
        <f>IF('Production Data-Table'!Z60&lt;&gt;"",'Production Data-Table'!Z60,#N/A)</f>
        <v>#N/A</v>
      </c>
    </row>
    <row r="52" spans="2:47" x14ac:dyDescent="0.2">
      <c r="B52" s="1">
        <v>64</v>
      </c>
      <c r="C52" s="93" t="e">
        <f>100-Standard!E54</f>
        <v>#VALUE!</v>
      </c>
      <c r="D52" s="85" t="e">
        <f>IF('Production Data-Table'!E62="",#N/A,'Production Data-Table'!E62*100)</f>
        <v>#N/A</v>
      </c>
      <c r="E52" s="82" t="str">
        <f>Standard!D54</f>
        <v/>
      </c>
      <c r="F52" s="82" t="e">
        <f t="shared" ref="F52:S52" si="59">E52*$E$3</f>
        <v>#VALUE!</v>
      </c>
      <c r="G52" s="82" t="e">
        <f t="shared" si="59"/>
        <v>#VALUE!</v>
      </c>
      <c r="H52" s="82" t="e">
        <f t="shared" si="59"/>
        <v>#VALUE!</v>
      </c>
      <c r="I52" s="82" t="e">
        <f t="shared" si="59"/>
        <v>#VALUE!</v>
      </c>
      <c r="J52" s="82" t="e">
        <f t="shared" si="59"/>
        <v>#VALUE!</v>
      </c>
      <c r="K52" s="82" t="e">
        <f t="shared" si="59"/>
        <v>#VALUE!</v>
      </c>
      <c r="L52" s="82" t="e">
        <f t="shared" si="59"/>
        <v>#VALUE!</v>
      </c>
      <c r="M52" s="82" t="e">
        <f t="shared" si="59"/>
        <v>#VALUE!</v>
      </c>
      <c r="N52" s="82" t="e">
        <f t="shared" si="59"/>
        <v>#VALUE!</v>
      </c>
      <c r="O52" s="82" t="e">
        <f t="shared" si="59"/>
        <v>#VALUE!</v>
      </c>
      <c r="P52" s="82" t="e">
        <f t="shared" si="59"/>
        <v>#VALUE!</v>
      </c>
      <c r="Q52" s="82" t="e">
        <f t="shared" si="59"/>
        <v>#VALUE!</v>
      </c>
      <c r="R52" s="82" t="e">
        <f t="shared" si="59"/>
        <v>#VALUE!</v>
      </c>
      <c r="S52" s="82" t="e">
        <f t="shared" si="59"/>
        <v>#VALUE!</v>
      </c>
      <c r="T52" s="83" t="e">
        <f>IF('Production Data-Table'!H62="",#N/A,'Production Data-Table'!H62)</f>
        <v>#N/A</v>
      </c>
      <c r="U52" s="84" t="e">
        <f t="shared" si="44"/>
        <v>#VALUE!</v>
      </c>
      <c r="V52" s="84" t="e">
        <f t="shared" si="52"/>
        <v>#VALUE!</v>
      </c>
      <c r="W52" s="84" t="e">
        <f t="shared" si="52"/>
        <v>#VALUE!</v>
      </c>
      <c r="X52" s="84" t="e">
        <f t="shared" si="52"/>
        <v>#VALUE!</v>
      </c>
      <c r="Y52" s="84" t="e">
        <f t="shared" si="52"/>
        <v>#VALUE!</v>
      </c>
      <c r="Z52" s="84" t="e">
        <f t="shared" si="52"/>
        <v>#VALUE!</v>
      </c>
      <c r="AA52" s="84" t="e">
        <f t="shared" si="52"/>
        <v>#VALUE!</v>
      </c>
      <c r="AB52" s="84" t="str">
        <f>Standard!G54</f>
        <v/>
      </c>
      <c r="AC52" s="84" t="e">
        <f t="shared" si="53"/>
        <v>#VALUE!</v>
      </c>
      <c r="AD52" s="84" t="e">
        <f t="shared" si="53"/>
        <v>#VALUE!</v>
      </c>
      <c r="AE52" s="84" t="e">
        <f t="shared" si="53"/>
        <v>#VALUE!</v>
      </c>
      <c r="AF52" s="84" t="e">
        <f t="shared" si="53"/>
        <v>#VALUE!</v>
      </c>
      <c r="AG52" s="84" t="e">
        <f t="shared" si="53"/>
        <v>#VALUE!</v>
      </c>
      <c r="AH52" s="84" t="e">
        <f t="shared" si="53"/>
        <v>#VALUE!</v>
      </c>
      <c r="AI52" s="84" t="e">
        <f t="shared" si="53"/>
        <v>#VALUE!</v>
      </c>
      <c r="AJ52" s="84" t="e">
        <f>IF('Production Data-Table'!M62="",#N/A,'Production Data-Table'!M62)</f>
        <v>#N/A</v>
      </c>
      <c r="AK52" s="86" t="e">
        <f t="shared" si="4"/>
        <v>#VALUE!</v>
      </c>
      <c r="AL52" s="86" t="e">
        <f t="shared" si="5"/>
        <v>#N/A</v>
      </c>
      <c r="AM52" s="86" t="str">
        <f>Standard!B54</f>
        <v/>
      </c>
      <c r="AN52" s="87" t="e">
        <f>IF('Production Data-Table'!AH62&lt;&gt;"",'Production Data-Table'!AH62,#N/A)</f>
        <v>#N/A</v>
      </c>
      <c r="AO52" s="97" t="e">
        <f>IF('Production Data-Table'!AC63="",#N/A,'Production Data-Table'!AC61*100)</f>
        <v>#N/A</v>
      </c>
      <c r="AP52" s="97" t="e">
        <f>IF('Production Data-Table'!AE63&lt;&gt;"",'Production Data-Table'!AE61*100,#N/A)</f>
        <v>#N/A</v>
      </c>
      <c r="AQ52" s="97" t="e">
        <f>IF('Production Data-Table'!AG63&lt;&gt;"",'Production Data-Table'!AG61*100,#N/A)</f>
        <v>#N/A</v>
      </c>
      <c r="AR52" s="113" t="e">
        <f>Standard!H54/7</f>
        <v>#VALUE!</v>
      </c>
      <c r="AS52" s="113" t="e">
        <f>IF('Production Data-Table'!O61="",#N/A,'Production Data-Table'!O61/7)</f>
        <v>#N/A</v>
      </c>
      <c r="AT52" s="1" t="e">
        <f>IF('Production Data-Table'!G61&lt;&gt;"",'Production Data-Table'!S61,#N/A)</f>
        <v>#N/A</v>
      </c>
      <c r="AU52" s="1" t="e">
        <f>IF('Production Data-Table'!Z61&lt;&gt;"",'Production Data-Table'!Z61,#N/A)</f>
        <v>#N/A</v>
      </c>
    </row>
    <row r="53" spans="2:47" x14ac:dyDescent="0.2">
      <c r="B53" s="1">
        <v>65</v>
      </c>
      <c r="C53" s="93" t="e">
        <f>100-Standard!E55</f>
        <v>#VALUE!</v>
      </c>
      <c r="D53" s="85" t="e">
        <f>IF('Production Data-Table'!E63="",#N/A,'Production Data-Table'!E63*100)</f>
        <v>#N/A</v>
      </c>
      <c r="E53" s="82" t="str">
        <f>Standard!D55</f>
        <v/>
      </c>
      <c r="F53" s="82" t="e">
        <f t="shared" ref="F53:S53" si="60">E53*$E$3</f>
        <v>#VALUE!</v>
      </c>
      <c r="G53" s="82" t="e">
        <f t="shared" si="60"/>
        <v>#VALUE!</v>
      </c>
      <c r="H53" s="82" t="e">
        <f t="shared" si="60"/>
        <v>#VALUE!</v>
      </c>
      <c r="I53" s="82" t="e">
        <f t="shared" si="60"/>
        <v>#VALUE!</v>
      </c>
      <c r="J53" s="82" t="e">
        <f t="shared" si="60"/>
        <v>#VALUE!</v>
      </c>
      <c r="K53" s="82" t="e">
        <f t="shared" si="60"/>
        <v>#VALUE!</v>
      </c>
      <c r="L53" s="82" t="e">
        <f t="shared" si="60"/>
        <v>#VALUE!</v>
      </c>
      <c r="M53" s="82" t="e">
        <f t="shared" si="60"/>
        <v>#VALUE!</v>
      </c>
      <c r="N53" s="82" t="e">
        <f t="shared" si="60"/>
        <v>#VALUE!</v>
      </c>
      <c r="O53" s="82" t="e">
        <f t="shared" si="60"/>
        <v>#VALUE!</v>
      </c>
      <c r="P53" s="82" t="e">
        <f t="shared" si="60"/>
        <v>#VALUE!</v>
      </c>
      <c r="Q53" s="82" t="e">
        <f t="shared" si="60"/>
        <v>#VALUE!</v>
      </c>
      <c r="R53" s="82" t="e">
        <f t="shared" si="60"/>
        <v>#VALUE!</v>
      </c>
      <c r="S53" s="82" t="e">
        <f t="shared" si="60"/>
        <v>#VALUE!</v>
      </c>
      <c r="T53" s="83" t="e">
        <f>IF('Production Data-Table'!H63="",#N/A,'Production Data-Table'!H63)</f>
        <v>#N/A</v>
      </c>
      <c r="U53" s="84" t="e">
        <f t="shared" si="44"/>
        <v>#VALUE!</v>
      </c>
      <c r="V53" s="84" t="e">
        <f t="shared" si="52"/>
        <v>#VALUE!</v>
      </c>
      <c r="W53" s="84" t="e">
        <f t="shared" si="52"/>
        <v>#VALUE!</v>
      </c>
      <c r="X53" s="84" t="e">
        <f t="shared" si="52"/>
        <v>#VALUE!</v>
      </c>
      <c r="Y53" s="84" t="e">
        <f t="shared" si="52"/>
        <v>#VALUE!</v>
      </c>
      <c r="Z53" s="84" t="e">
        <f t="shared" si="52"/>
        <v>#VALUE!</v>
      </c>
      <c r="AA53" s="84" t="e">
        <f t="shared" si="52"/>
        <v>#VALUE!</v>
      </c>
      <c r="AB53" s="84" t="str">
        <f>Standard!G55</f>
        <v/>
      </c>
      <c r="AC53" s="84" t="e">
        <f t="shared" si="53"/>
        <v>#VALUE!</v>
      </c>
      <c r="AD53" s="84" t="e">
        <f t="shared" si="53"/>
        <v>#VALUE!</v>
      </c>
      <c r="AE53" s="84" t="e">
        <f t="shared" si="53"/>
        <v>#VALUE!</v>
      </c>
      <c r="AF53" s="84" t="e">
        <f t="shared" si="53"/>
        <v>#VALUE!</v>
      </c>
      <c r="AG53" s="84" t="e">
        <f t="shared" si="53"/>
        <v>#VALUE!</v>
      </c>
      <c r="AH53" s="84" t="e">
        <f t="shared" si="53"/>
        <v>#VALUE!</v>
      </c>
      <c r="AI53" s="84" t="e">
        <f t="shared" si="53"/>
        <v>#VALUE!</v>
      </c>
      <c r="AJ53" s="84" t="e">
        <f>IF('Production Data-Table'!M63="",#N/A,'Production Data-Table'!M63)</f>
        <v>#N/A</v>
      </c>
      <c r="AK53" s="86" t="e">
        <f t="shared" si="4"/>
        <v>#VALUE!</v>
      </c>
      <c r="AL53" s="86" t="e">
        <f t="shared" si="5"/>
        <v>#N/A</v>
      </c>
      <c r="AM53" s="86" t="str">
        <f>Standard!B55</f>
        <v/>
      </c>
      <c r="AN53" s="87" t="e">
        <f>IF('Production Data-Table'!AH63&lt;&gt;"",'Production Data-Table'!AH63,#N/A)</f>
        <v>#N/A</v>
      </c>
      <c r="AO53" s="97" t="e">
        <f>IF('Production Data-Table'!AC64="",#N/A,'Production Data-Table'!AC62*100)</f>
        <v>#N/A</v>
      </c>
      <c r="AP53" s="97" t="e">
        <f>IF('Production Data-Table'!AE64&lt;&gt;"",'Production Data-Table'!AE62*100,#N/A)</f>
        <v>#N/A</v>
      </c>
      <c r="AQ53" s="97" t="e">
        <f>IF('Production Data-Table'!AG64&lt;&gt;"",'Production Data-Table'!AG62*100,#N/A)</f>
        <v>#N/A</v>
      </c>
      <c r="AR53" s="113" t="e">
        <f>Standard!H55/7</f>
        <v>#VALUE!</v>
      </c>
      <c r="AS53" s="113" t="e">
        <f>IF('Production Data-Table'!O62="",#N/A,'Production Data-Table'!O62/7)</f>
        <v>#N/A</v>
      </c>
      <c r="AT53" s="1" t="e">
        <f>IF('Production Data-Table'!G62&lt;&gt;"",'Production Data-Table'!S62,#N/A)</f>
        <v>#N/A</v>
      </c>
      <c r="AU53" s="1" t="e">
        <f>IF('Production Data-Table'!Z62&lt;&gt;"",'Production Data-Table'!Z62,#N/A)</f>
        <v>#N/A</v>
      </c>
    </row>
    <row r="54" spans="2:47" x14ac:dyDescent="0.2">
      <c r="B54" s="1">
        <v>66</v>
      </c>
      <c r="C54" s="93" t="e">
        <f>100-Standard!E56</f>
        <v>#VALUE!</v>
      </c>
      <c r="D54" s="85" t="e">
        <f>IF('Production Data-Table'!E64="",#N/A,'Production Data-Table'!E64*100)</f>
        <v>#N/A</v>
      </c>
      <c r="E54" s="82" t="str">
        <f>Standard!D56</f>
        <v/>
      </c>
      <c r="F54" s="82" t="e">
        <f t="shared" ref="F54:S54" si="61">E54*$E$3</f>
        <v>#VALUE!</v>
      </c>
      <c r="G54" s="82" t="e">
        <f t="shared" si="61"/>
        <v>#VALUE!</v>
      </c>
      <c r="H54" s="82" t="e">
        <f t="shared" si="61"/>
        <v>#VALUE!</v>
      </c>
      <c r="I54" s="82" t="e">
        <f t="shared" si="61"/>
        <v>#VALUE!</v>
      </c>
      <c r="J54" s="82" t="e">
        <f t="shared" si="61"/>
        <v>#VALUE!</v>
      </c>
      <c r="K54" s="82" t="e">
        <f t="shared" si="61"/>
        <v>#VALUE!</v>
      </c>
      <c r="L54" s="82" t="e">
        <f t="shared" si="61"/>
        <v>#VALUE!</v>
      </c>
      <c r="M54" s="82" t="e">
        <f t="shared" si="61"/>
        <v>#VALUE!</v>
      </c>
      <c r="N54" s="82" t="e">
        <f t="shared" si="61"/>
        <v>#VALUE!</v>
      </c>
      <c r="O54" s="82" t="e">
        <f t="shared" si="61"/>
        <v>#VALUE!</v>
      </c>
      <c r="P54" s="82" t="e">
        <f t="shared" si="61"/>
        <v>#VALUE!</v>
      </c>
      <c r="Q54" s="82" t="e">
        <f t="shared" si="61"/>
        <v>#VALUE!</v>
      </c>
      <c r="R54" s="82" t="e">
        <f t="shared" si="61"/>
        <v>#VALUE!</v>
      </c>
      <c r="S54" s="82" t="e">
        <f t="shared" si="61"/>
        <v>#VALUE!</v>
      </c>
      <c r="T54" s="83" t="e">
        <f>IF('Production Data-Table'!H64="",#N/A,'Production Data-Table'!H64)</f>
        <v>#N/A</v>
      </c>
      <c r="U54" s="84" t="e">
        <f t="shared" si="44"/>
        <v>#VALUE!</v>
      </c>
      <c r="V54" s="84" t="e">
        <f t="shared" si="52"/>
        <v>#VALUE!</v>
      </c>
      <c r="W54" s="84" t="e">
        <f t="shared" si="52"/>
        <v>#VALUE!</v>
      </c>
      <c r="X54" s="84" t="e">
        <f t="shared" si="52"/>
        <v>#VALUE!</v>
      </c>
      <c r="Y54" s="84" t="e">
        <f t="shared" si="52"/>
        <v>#VALUE!</v>
      </c>
      <c r="Z54" s="84" t="e">
        <f t="shared" si="52"/>
        <v>#VALUE!</v>
      </c>
      <c r="AA54" s="84" t="e">
        <f t="shared" si="52"/>
        <v>#VALUE!</v>
      </c>
      <c r="AB54" s="84" t="str">
        <f>Standard!G56</f>
        <v/>
      </c>
      <c r="AC54" s="84" t="e">
        <f t="shared" si="53"/>
        <v>#VALUE!</v>
      </c>
      <c r="AD54" s="84" t="e">
        <f t="shared" si="53"/>
        <v>#VALUE!</v>
      </c>
      <c r="AE54" s="84" t="e">
        <f t="shared" si="53"/>
        <v>#VALUE!</v>
      </c>
      <c r="AF54" s="84" t="e">
        <f t="shared" si="53"/>
        <v>#VALUE!</v>
      </c>
      <c r="AG54" s="84" t="e">
        <f t="shared" si="53"/>
        <v>#VALUE!</v>
      </c>
      <c r="AH54" s="84" t="e">
        <f t="shared" si="53"/>
        <v>#VALUE!</v>
      </c>
      <c r="AI54" s="84" t="e">
        <f t="shared" si="53"/>
        <v>#VALUE!</v>
      </c>
      <c r="AJ54" s="84" t="e">
        <f>IF('Production Data-Table'!M64="",#N/A,'Production Data-Table'!M64)</f>
        <v>#N/A</v>
      </c>
      <c r="AK54" s="86" t="e">
        <f t="shared" si="4"/>
        <v>#VALUE!</v>
      </c>
      <c r="AL54" s="86" t="e">
        <f t="shared" si="5"/>
        <v>#N/A</v>
      </c>
      <c r="AM54" s="86" t="str">
        <f>Standard!B56</f>
        <v/>
      </c>
      <c r="AN54" s="87" t="e">
        <f>IF('Production Data-Table'!AH64&lt;&gt;"",'Production Data-Table'!AH64,#N/A)</f>
        <v>#N/A</v>
      </c>
      <c r="AO54" s="97" t="e">
        <f>IF('Production Data-Table'!AC65="",#N/A,'Production Data-Table'!AC63*100)</f>
        <v>#N/A</v>
      </c>
      <c r="AP54" s="97" t="e">
        <f>IF('Production Data-Table'!AE65&lt;&gt;"",'Production Data-Table'!AE63*100,#N/A)</f>
        <v>#N/A</v>
      </c>
      <c r="AQ54" s="97" t="e">
        <f>IF('Production Data-Table'!AG65&lt;&gt;"",'Production Data-Table'!AG63*100,#N/A)</f>
        <v>#N/A</v>
      </c>
      <c r="AR54" s="113" t="e">
        <f>Standard!H56/7</f>
        <v>#VALUE!</v>
      </c>
      <c r="AS54" s="113" t="e">
        <f>IF('Production Data-Table'!O63="",#N/A,'Production Data-Table'!O63/7)</f>
        <v>#N/A</v>
      </c>
      <c r="AT54" s="1" t="e">
        <f>IF('Production Data-Table'!G63&lt;&gt;"",'Production Data-Table'!S63,#N/A)</f>
        <v>#N/A</v>
      </c>
      <c r="AU54" s="1" t="e">
        <f>IF('Production Data-Table'!Z63&lt;&gt;"",'Production Data-Table'!Z63,#N/A)</f>
        <v>#N/A</v>
      </c>
    </row>
    <row r="55" spans="2:47" x14ac:dyDescent="0.2">
      <c r="B55" s="1">
        <v>67</v>
      </c>
      <c r="C55" s="93" t="e">
        <f>100-Standard!E57</f>
        <v>#VALUE!</v>
      </c>
      <c r="D55" s="85" t="e">
        <f>IF('Production Data-Table'!E65="",#N/A,'Production Data-Table'!E65*100)</f>
        <v>#N/A</v>
      </c>
      <c r="E55" s="82" t="str">
        <f>Standard!D57</f>
        <v/>
      </c>
      <c r="F55" s="82" t="e">
        <f t="shared" ref="F55:S55" si="62">E55*$E$3</f>
        <v>#VALUE!</v>
      </c>
      <c r="G55" s="82" t="e">
        <f t="shared" si="62"/>
        <v>#VALUE!</v>
      </c>
      <c r="H55" s="82" t="e">
        <f t="shared" si="62"/>
        <v>#VALUE!</v>
      </c>
      <c r="I55" s="82" t="e">
        <f t="shared" si="62"/>
        <v>#VALUE!</v>
      </c>
      <c r="J55" s="82" t="e">
        <f t="shared" si="62"/>
        <v>#VALUE!</v>
      </c>
      <c r="K55" s="82" t="e">
        <f t="shared" si="62"/>
        <v>#VALUE!</v>
      </c>
      <c r="L55" s="82" t="e">
        <f t="shared" si="62"/>
        <v>#VALUE!</v>
      </c>
      <c r="M55" s="82" t="e">
        <f t="shared" si="62"/>
        <v>#VALUE!</v>
      </c>
      <c r="N55" s="82" t="e">
        <f t="shared" si="62"/>
        <v>#VALUE!</v>
      </c>
      <c r="O55" s="82" t="e">
        <f t="shared" si="62"/>
        <v>#VALUE!</v>
      </c>
      <c r="P55" s="82" t="e">
        <f t="shared" si="62"/>
        <v>#VALUE!</v>
      </c>
      <c r="Q55" s="82" t="e">
        <f t="shared" si="62"/>
        <v>#VALUE!</v>
      </c>
      <c r="R55" s="82" t="e">
        <f t="shared" si="62"/>
        <v>#VALUE!</v>
      </c>
      <c r="S55" s="82" t="e">
        <f t="shared" si="62"/>
        <v>#VALUE!</v>
      </c>
      <c r="T55" s="83" t="e">
        <f>IF('Production Data-Table'!H65="",#N/A,'Production Data-Table'!H65)</f>
        <v>#N/A</v>
      </c>
      <c r="U55" s="84" t="e">
        <f t="shared" si="44"/>
        <v>#VALUE!</v>
      </c>
      <c r="V55" s="84" t="e">
        <f t="shared" si="52"/>
        <v>#VALUE!</v>
      </c>
      <c r="W55" s="84" t="e">
        <f t="shared" si="52"/>
        <v>#VALUE!</v>
      </c>
      <c r="X55" s="84" t="e">
        <f t="shared" si="52"/>
        <v>#VALUE!</v>
      </c>
      <c r="Y55" s="84" t="e">
        <f t="shared" si="52"/>
        <v>#VALUE!</v>
      </c>
      <c r="Z55" s="84" t="e">
        <f t="shared" si="52"/>
        <v>#VALUE!</v>
      </c>
      <c r="AA55" s="84" t="e">
        <f t="shared" si="52"/>
        <v>#VALUE!</v>
      </c>
      <c r="AB55" s="84" t="str">
        <f>Standard!G57</f>
        <v/>
      </c>
      <c r="AC55" s="84" t="e">
        <f t="shared" si="53"/>
        <v>#VALUE!</v>
      </c>
      <c r="AD55" s="84" t="e">
        <f t="shared" si="53"/>
        <v>#VALUE!</v>
      </c>
      <c r="AE55" s="84" t="e">
        <f t="shared" si="53"/>
        <v>#VALUE!</v>
      </c>
      <c r="AF55" s="84" t="e">
        <f t="shared" si="53"/>
        <v>#VALUE!</v>
      </c>
      <c r="AG55" s="84" t="e">
        <f t="shared" si="53"/>
        <v>#VALUE!</v>
      </c>
      <c r="AH55" s="84" t="e">
        <f t="shared" si="53"/>
        <v>#VALUE!</v>
      </c>
      <c r="AI55" s="84" t="e">
        <f t="shared" si="53"/>
        <v>#VALUE!</v>
      </c>
      <c r="AJ55" s="84" t="e">
        <f>IF('Production Data-Table'!M65="",#N/A,'Production Data-Table'!M65)</f>
        <v>#N/A</v>
      </c>
      <c r="AK55" s="86" t="e">
        <f t="shared" si="4"/>
        <v>#VALUE!</v>
      </c>
      <c r="AL55" s="86" t="e">
        <f t="shared" si="5"/>
        <v>#N/A</v>
      </c>
      <c r="AM55" s="86" t="str">
        <f>Standard!B57</f>
        <v/>
      </c>
      <c r="AN55" s="87" t="e">
        <f>IF('Production Data-Table'!AH65&lt;&gt;"",'Production Data-Table'!AH65,#N/A)</f>
        <v>#N/A</v>
      </c>
      <c r="AO55" s="97" t="e">
        <f>IF('Production Data-Table'!AC66="",#N/A,'Production Data-Table'!AC64*100)</f>
        <v>#N/A</v>
      </c>
      <c r="AP55" s="97" t="e">
        <f>IF('Production Data-Table'!AE66&lt;&gt;"",'Production Data-Table'!AE64*100,#N/A)</f>
        <v>#N/A</v>
      </c>
      <c r="AQ55" s="97" t="e">
        <f>IF('Production Data-Table'!AG66&lt;&gt;"",'Production Data-Table'!AG64*100,#N/A)</f>
        <v>#N/A</v>
      </c>
      <c r="AR55" s="113" t="e">
        <f>Standard!H57/7</f>
        <v>#VALUE!</v>
      </c>
      <c r="AS55" s="113" t="e">
        <f>IF('Production Data-Table'!O64="",#N/A,'Production Data-Table'!O64/7)</f>
        <v>#N/A</v>
      </c>
      <c r="AT55" s="1" t="e">
        <f>IF('Production Data-Table'!G64&lt;&gt;"",'Production Data-Table'!S64,#N/A)</f>
        <v>#N/A</v>
      </c>
      <c r="AU55" s="1" t="e">
        <f>IF('Production Data-Table'!Z64&lt;&gt;"",'Production Data-Table'!Z64,#N/A)</f>
        <v>#N/A</v>
      </c>
    </row>
    <row r="56" spans="2:47" x14ac:dyDescent="0.2">
      <c r="B56" s="1">
        <v>68</v>
      </c>
      <c r="C56" s="93" t="e">
        <f>100-Standard!E58</f>
        <v>#VALUE!</v>
      </c>
      <c r="D56" s="85" t="e">
        <f>IF('Production Data-Table'!E66="",#N/A,'Production Data-Table'!E66*100)</f>
        <v>#N/A</v>
      </c>
      <c r="E56" s="82" t="str">
        <f>Standard!D58</f>
        <v/>
      </c>
      <c r="F56" s="82" t="e">
        <f t="shared" ref="F56:S56" si="63">E56*$E$3</f>
        <v>#VALUE!</v>
      </c>
      <c r="G56" s="82" t="e">
        <f t="shared" si="63"/>
        <v>#VALUE!</v>
      </c>
      <c r="H56" s="82" t="e">
        <f t="shared" si="63"/>
        <v>#VALUE!</v>
      </c>
      <c r="I56" s="82" t="e">
        <f t="shared" si="63"/>
        <v>#VALUE!</v>
      </c>
      <c r="J56" s="82" t="e">
        <f t="shared" si="63"/>
        <v>#VALUE!</v>
      </c>
      <c r="K56" s="82" t="e">
        <f t="shared" si="63"/>
        <v>#VALUE!</v>
      </c>
      <c r="L56" s="82" t="e">
        <f t="shared" si="63"/>
        <v>#VALUE!</v>
      </c>
      <c r="M56" s="82" t="e">
        <f t="shared" si="63"/>
        <v>#VALUE!</v>
      </c>
      <c r="N56" s="82" t="e">
        <f t="shared" si="63"/>
        <v>#VALUE!</v>
      </c>
      <c r="O56" s="82" t="e">
        <f t="shared" si="63"/>
        <v>#VALUE!</v>
      </c>
      <c r="P56" s="82" t="e">
        <f t="shared" si="63"/>
        <v>#VALUE!</v>
      </c>
      <c r="Q56" s="82" t="e">
        <f t="shared" si="63"/>
        <v>#VALUE!</v>
      </c>
      <c r="R56" s="82" t="e">
        <f t="shared" si="63"/>
        <v>#VALUE!</v>
      </c>
      <c r="S56" s="82" t="e">
        <f t="shared" si="63"/>
        <v>#VALUE!</v>
      </c>
      <c r="T56" s="83" t="e">
        <f>IF('Production Data-Table'!H66="",#N/A,'Production Data-Table'!H66)</f>
        <v>#N/A</v>
      </c>
      <c r="U56" s="84" t="e">
        <f t="shared" si="44"/>
        <v>#VALUE!</v>
      </c>
      <c r="V56" s="84" t="e">
        <f t="shared" ref="V56:AA65" si="64">W56*$V$3</f>
        <v>#VALUE!</v>
      </c>
      <c r="W56" s="84" t="e">
        <f t="shared" si="64"/>
        <v>#VALUE!</v>
      </c>
      <c r="X56" s="84" t="e">
        <f t="shared" si="64"/>
        <v>#VALUE!</v>
      </c>
      <c r="Y56" s="84" t="e">
        <f t="shared" si="64"/>
        <v>#VALUE!</v>
      </c>
      <c r="Z56" s="84" t="e">
        <f t="shared" si="64"/>
        <v>#VALUE!</v>
      </c>
      <c r="AA56" s="84" t="e">
        <f t="shared" si="64"/>
        <v>#VALUE!</v>
      </c>
      <c r="AB56" s="84" t="str">
        <f>Standard!G58</f>
        <v/>
      </c>
      <c r="AC56" s="84" t="e">
        <f t="shared" ref="AC56:AI65" si="65">AB56*$U$3</f>
        <v>#VALUE!</v>
      </c>
      <c r="AD56" s="84" t="e">
        <f t="shared" si="65"/>
        <v>#VALUE!</v>
      </c>
      <c r="AE56" s="84" t="e">
        <f t="shared" si="65"/>
        <v>#VALUE!</v>
      </c>
      <c r="AF56" s="84" t="e">
        <f t="shared" si="65"/>
        <v>#VALUE!</v>
      </c>
      <c r="AG56" s="84" t="e">
        <f t="shared" si="65"/>
        <v>#VALUE!</v>
      </c>
      <c r="AH56" s="84" t="e">
        <f t="shared" si="65"/>
        <v>#VALUE!</v>
      </c>
      <c r="AI56" s="84" t="e">
        <f t="shared" si="65"/>
        <v>#VALUE!</v>
      </c>
      <c r="AJ56" s="84" t="e">
        <f>IF('Production Data-Table'!M66="",#N/A,'Production Data-Table'!M66)</f>
        <v>#N/A</v>
      </c>
      <c r="AK56" s="86" t="e">
        <f t="shared" si="4"/>
        <v>#VALUE!</v>
      </c>
      <c r="AL56" s="86" t="e">
        <f t="shared" si="5"/>
        <v>#N/A</v>
      </c>
      <c r="AM56" s="86" t="str">
        <f>Standard!B58</f>
        <v/>
      </c>
      <c r="AN56" s="87" t="e">
        <f>IF('Production Data-Table'!AH66&lt;&gt;"",'Production Data-Table'!AH66,#N/A)</f>
        <v>#N/A</v>
      </c>
      <c r="AO56" s="97" t="e">
        <f>IF('Production Data-Table'!AC67="",#N/A,'Production Data-Table'!AC65*100)</f>
        <v>#N/A</v>
      </c>
      <c r="AP56" s="97" t="e">
        <f>IF('Production Data-Table'!AE67&lt;&gt;"",'Production Data-Table'!AE65*100,#N/A)</f>
        <v>#N/A</v>
      </c>
      <c r="AQ56" s="97" t="e">
        <f>IF('Production Data-Table'!AG67&lt;&gt;"",'Production Data-Table'!AG65*100,#N/A)</f>
        <v>#N/A</v>
      </c>
      <c r="AR56" s="113" t="e">
        <f>Standard!H58/7</f>
        <v>#VALUE!</v>
      </c>
      <c r="AS56" s="113" t="e">
        <f>IF('Production Data-Table'!O65="",#N/A,'Production Data-Table'!O65/7)</f>
        <v>#N/A</v>
      </c>
      <c r="AT56" s="1" t="e">
        <f>IF('Production Data-Table'!G65&lt;&gt;"",'Production Data-Table'!S65,#N/A)</f>
        <v>#N/A</v>
      </c>
      <c r="AU56" s="1" t="e">
        <f>IF('Production Data-Table'!Z65&lt;&gt;"",'Production Data-Table'!Z65,#N/A)</f>
        <v>#N/A</v>
      </c>
    </row>
    <row r="57" spans="2:47" x14ac:dyDescent="0.2">
      <c r="B57" s="1">
        <v>69</v>
      </c>
      <c r="C57" s="93" t="e">
        <f>100-Standard!E59</f>
        <v>#VALUE!</v>
      </c>
      <c r="D57" s="85" t="e">
        <f>IF('Production Data-Table'!E67="",#N/A,'Production Data-Table'!E67*100)</f>
        <v>#N/A</v>
      </c>
      <c r="E57" s="82" t="str">
        <f>Standard!D59</f>
        <v/>
      </c>
      <c r="F57" s="82" t="e">
        <f t="shared" ref="F57:S57" si="66">E57*$E$3</f>
        <v>#VALUE!</v>
      </c>
      <c r="G57" s="82" t="e">
        <f t="shared" si="66"/>
        <v>#VALUE!</v>
      </c>
      <c r="H57" s="82" t="e">
        <f t="shared" si="66"/>
        <v>#VALUE!</v>
      </c>
      <c r="I57" s="82" t="e">
        <f t="shared" si="66"/>
        <v>#VALUE!</v>
      </c>
      <c r="J57" s="82" t="e">
        <f t="shared" si="66"/>
        <v>#VALUE!</v>
      </c>
      <c r="K57" s="82" t="e">
        <f t="shared" si="66"/>
        <v>#VALUE!</v>
      </c>
      <c r="L57" s="82" t="e">
        <f t="shared" si="66"/>
        <v>#VALUE!</v>
      </c>
      <c r="M57" s="82" t="e">
        <f t="shared" si="66"/>
        <v>#VALUE!</v>
      </c>
      <c r="N57" s="82" t="e">
        <f t="shared" si="66"/>
        <v>#VALUE!</v>
      </c>
      <c r="O57" s="82" t="e">
        <f t="shared" si="66"/>
        <v>#VALUE!</v>
      </c>
      <c r="P57" s="82" t="e">
        <f t="shared" si="66"/>
        <v>#VALUE!</v>
      </c>
      <c r="Q57" s="82" t="e">
        <f t="shared" si="66"/>
        <v>#VALUE!</v>
      </c>
      <c r="R57" s="82" t="e">
        <f t="shared" si="66"/>
        <v>#VALUE!</v>
      </c>
      <c r="S57" s="82" t="e">
        <f t="shared" si="66"/>
        <v>#VALUE!</v>
      </c>
      <c r="T57" s="83" t="e">
        <f>IF('Production Data-Table'!H67="",#N/A,'Production Data-Table'!H67)</f>
        <v>#N/A</v>
      </c>
      <c r="U57" s="84" t="e">
        <f t="shared" si="44"/>
        <v>#VALUE!</v>
      </c>
      <c r="V57" s="84" t="e">
        <f t="shared" si="64"/>
        <v>#VALUE!</v>
      </c>
      <c r="W57" s="84" t="e">
        <f t="shared" si="64"/>
        <v>#VALUE!</v>
      </c>
      <c r="X57" s="84" t="e">
        <f t="shared" si="64"/>
        <v>#VALUE!</v>
      </c>
      <c r="Y57" s="84" t="e">
        <f t="shared" si="64"/>
        <v>#VALUE!</v>
      </c>
      <c r="Z57" s="84" t="e">
        <f t="shared" si="64"/>
        <v>#VALUE!</v>
      </c>
      <c r="AA57" s="84" t="e">
        <f t="shared" si="64"/>
        <v>#VALUE!</v>
      </c>
      <c r="AB57" s="84" t="str">
        <f>Standard!G59</f>
        <v/>
      </c>
      <c r="AC57" s="84" t="e">
        <f t="shared" si="65"/>
        <v>#VALUE!</v>
      </c>
      <c r="AD57" s="84" t="e">
        <f t="shared" si="65"/>
        <v>#VALUE!</v>
      </c>
      <c r="AE57" s="84" t="e">
        <f t="shared" si="65"/>
        <v>#VALUE!</v>
      </c>
      <c r="AF57" s="84" t="e">
        <f t="shared" si="65"/>
        <v>#VALUE!</v>
      </c>
      <c r="AG57" s="84" t="e">
        <f t="shared" si="65"/>
        <v>#VALUE!</v>
      </c>
      <c r="AH57" s="84" t="e">
        <f t="shared" si="65"/>
        <v>#VALUE!</v>
      </c>
      <c r="AI57" s="84" t="e">
        <f t="shared" si="65"/>
        <v>#VALUE!</v>
      </c>
      <c r="AJ57" s="84" t="e">
        <f>IF('Production Data-Table'!M67="",#N/A,'Production Data-Table'!M67)</f>
        <v>#N/A</v>
      </c>
      <c r="AK57" s="86" t="e">
        <f t="shared" si="4"/>
        <v>#VALUE!</v>
      </c>
      <c r="AL57" s="86" t="e">
        <f t="shared" si="5"/>
        <v>#N/A</v>
      </c>
      <c r="AM57" s="86" t="str">
        <f>Standard!B59</f>
        <v/>
      </c>
      <c r="AN57" s="87" t="e">
        <f>IF('Production Data-Table'!AH67&lt;&gt;"",'Production Data-Table'!AH67,#N/A)</f>
        <v>#N/A</v>
      </c>
      <c r="AO57" s="97" t="e">
        <f>IF('Production Data-Table'!AC68="",#N/A,'Production Data-Table'!AC66*100)</f>
        <v>#N/A</v>
      </c>
      <c r="AP57" s="97" t="e">
        <f>IF('Production Data-Table'!AE68&lt;&gt;"",'Production Data-Table'!AE66*100,#N/A)</f>
        <v>#N/A</v>
      </c>
      <c r="AQ57" s="97" t="e">
        <f>IF('Production Data-Table'!AG68&lt;&gt;"",'Production Data-Table'!AG66*100,#N/A)</f>
        <v>#N/A</v>
      </c>
      <c r="AR57" s="113" t="e">
        <f>Standard!H59/7</f>
        <v>#VALUE!</v>
      </c>
      <c r="AS57" s="113" t="e">
        <f>IF('Production Data-Table'!O66="",#N/A,'Production Data-Table'!O66/7)</f>
        <v>#N/A</v>
      </c>
      <c r="AT57" s="1" t="e">
        <f>IF('Production Data-Table'!G66&lt;&gt;"",'Production Data-Table'!S66,#N/A)</f>
        <v>#N/A</v>
      </c>
      <c r="AU57" s="1" t="e">
        <f>IF('Production Data-Table'!Z66&lt;&gt;"",'Production Data-Table'!Z66,#N/A)</f>
        <v>#N/A</v>
      </c>
    </row>
    <row r="58" spans="2:47" x14ac:dyDescent="0.2">
      <c r="B58" s="1">
        <v>70</v>
      </c>
      <c r="C58" s="93" t="e">
        <f>100-Standard!E60</f>
        <v>#VALUE!</v>
      </c>
      <c r="D58" s="85" t="e">
        <f>IF('Production Data-Table'!E68="",#N/A,'Production Data-Table'!E68*100)</f>
        <v>#N/A</v>
      </c>
      <c r="E58" s="82" t="str">
        <f>Standard!D60</f>
        <v/>
      </c>
      <c r="F58" s="82" t="e">
        <f t="shared" ref="F58:S58" si="67">E58*$E$3</f>
        <v>#VALUE!</v>
      </c>
      <c r="G58" s="82" t="e">
        <f t="shared" si="67"/>
        <v>#VALUE!</v>
      </c>
      <c r="H58" s="82" t="e">
        <f t="shared" si="67"/>
        <v>#VALUE!</v>
      </c>
      <c r="I58" s="82" t="e">
        <f t="shared" si="67"/>
        <v>#VALUE!</v>
      </c>
      <c r="J58" s="82" t="e">
        <f t="shared" si="67"/>
        <v>#VALUE!</v>
      </c>
      <c r="K58" s="82" t="e">
        <f t="shared" si="67"/>
        <v>#VALUE!</v>
      </c>
      <c r="L58" s="82" t="e">
        <f t="shared" si="67"/>
        <v>#VALUE!</v>
      </c>
      <c r="M58" s="82" t="e">
        <f t="shared" si="67"/>
        <v>#VALUE!</v>
      </c>
      <c r="N58" s="82" t="e">
        <f t="shared" si="67"/>
        <v>#VALUE!</v>
      </c>
      <c r="O58" s="82" t="e">
        <f t="shared" si="67"/>
        <v>#VALUE!</v>
      </c>
      <c r="P58" s="82" t="e">
        <f t="shared" si="67"/>
        <v>#VALUE!</v>
      </c>
      <c r="Q58" s="82" t="e">
        <f t="shared" si="67"/>
        <v>#VALUE!</v>
      </c>
      <c r="R58" s="82" t="e">
        <f t="shared" si="67"/>
        <v>#VALUE!</v>
      </c>
      <c r="S58" s="82" t="e">
        <f t="shared" si="67"/>
        <v>#VALUE!</v>
      </c>
      <c r="T58" s="83" t="e">
        <f>IF('Production Data-Table'!H68="",#N/A,'Production Data-Table'!H68)</f>
        <v>#N/A</v>
      </c>
      <c r="U58" s="84" t="e">
        <f t="shared" si="44"/>
        <v>#VALUE!</v>
      </c>
      <c r="V58" s="84" t="e">
        <f t="shared" si="64"/>
        <v>#VALUE!</v>
      </c>
      <c r="W58" s="84" t="e">
        <f t="shared" si="64"/>
        <v>#VALUE!</v>
      </c>
      <c r="X58" s="84" t="e">
        <f t="shared" si="64"/>
        <v>#VALUE!</v>
      </c>
      <c r="Y58" s="84" t="e">
        <f t="shared" si="64"/>
        <v>#VALUE!</v>
      </c>
      <c r="Z58" s="84" t="e">
        <f t="shared" si="64"/>
        <v>#VALUE!</v>
      </c>
      <c r="AA58" s="84" t="e">
        <f t="shared" si="64"/>
        <v>#VALUE!</v>
      </c>
      <c r="AB58" s="84" t="str">
        <f>Standard!G60</f>
        <v/>
      </c>
      <c r="AC58" s="84" t="e">
        <f t="shared" si="65"/>
        <v>#VALUE!</v>
      </c>
      <c r="AD58" s="84" t="e">
        <f t="shared" si="65"/>
        <v>#VALUE!</v>
      </c>
      <c r="AE58" s="84" t="e">
        <f t="shared" si="65"/>
        <v>#VALUE!</v>
      </c>
      <c r="AF58" s="84" t="e">
        <f t="shared" si="65"/>
        <v>#VALUE!</v>
      </c>
      <c r="AG58" s="84" t="e">
        <f t="shared" si="65"/>
        <v>#VALUE!</v>
      </c>
      <c r="AH58" s="84" t="e">
        <f t="shared" si="65"/>
        <v>#VALUE!</v>
      </c>
      <c r="AI58" s="84" t="e">
        <f t="shared" si="65"/>
        <v>#VALUE!</v>
      </c>
      <c r="AJ58" s="84" t="e">
        <f>IF('Production Data-Table'!M68="",#N/A,'Production Data-Table'!M68)</f>
        <v>#N/A</v>
      </c>
      <c r="AK58" s="86" t="e">
        <f t="shared" si="4"/>
        <v>#VALUE!</v>
      </c>
      <c r="AL58" s="86" t="e">
        <f t="shared" si="5"/>
        <v>#N/A</v>
      </c>
      <c r="AM58" s="86" t="str">
        <f>Standard!B60</f>
        <v/>
      </c>
      <c r="AN58" s="87" t="e">
        <f>IF('Production Data-Table'!AH68&lt;&gt;"",'Production Data-Table'!AH68,#N/A)</f>
        <v>#N/A</v>
      </c>
      <c r="AO58" s="97" t="e">
        <f>IF('Production Data-Table'!AC69="",#N/A,'Production Data-Table'!AC67*100)</f>
        <v>#N/A</v>
      </c>
      <c r="AP58" s="97" t="e">
        <f>IF('Production Data-Table'!AE69&lt;&gt;"",'Production Data-Table'!AE67*100,#N/A)</f>
        <v>#N/A</v>
      </c>
      <c r="AQ58" s="97" t="e">
        <f>IF('Production Data-Table'!AG69&lt;&gt;"",'Production Data-Table'!AG67*100,#N/A)</f>
        <v>#N/A</v>
      </c>
      <c r="AR58" s="113" t="e">
        <f>Standard!H60/7</f>
        <v>#VALUE!</v>
      </c>
      <c r="AS58" s="113" t="e">
        <f>IF('Production Data-Table'!O67="",#N/A,'Production Data-Table'!O67/7)</f>
        <v>#N/A</v>
      </c>
      <c r="AT58" s="1" t="e">
        <f>IF('Production Data-Table'!G67&lt;&gt;"",'Production Data-Table'!S67,#N/A)</f>
        <v>#N/A</v>
      </c>
      <c r="AU58" s="1" t="e">
        <f>IF('Production Data-Table'!Z67&lt;&gt;"",'Production Data-Table'!Z67,#N/A)</f>
        <v>#N/A</v>
      </c>
    </row>
    <row r="59" spans="2:47" x14ac:dyDescent="0.2">
      <c r="B59" s="1">
        <v>71</v>
      </c>
      <c r="C59" s="93" t="e">
        <f>100-Standard!E61</f>
        <v>#VALUE!</v>
      </c>
      <c r="D59" s="85" t="e">
        <f>IF('Production Data-Table'!E69="",#N/A,'Production Data-Table'!E69*100)</f>
        <v>#N/A</v>
      </c>
      <c r="E59" s="82" t="str">
        <f>Standard!D61</f>
        <v/>
      </c>
      <c r="F59" s="82" t="e">
        <f t="shared" ref="F59:S59" si="68">E59*$E$3</f>
        <v>#VALUE!</v>
      </c>
      <c r="G59" s="82" t="e">
        <f t="shared" si="68"/>
        <v>#VALUE!</v>
      </c>
      <c r="H59" s="82" t="e">
        <f t="shared" si="68"/>
        <v>#VALUE!</v>
      </c>
      <c r="I59" s="82" t="e">
        <f t="shared" si="68"/>
        <v>#VALUE!</v>
      </c>
      <c r="J59" s="82" t="e">
        <f t="shared" si="68"/>
        <v>#VALUE!</v>
      </c>
      <c r="K59" s="82" t="e">
        <f t="shared" si="68"/>
        <v>#VALUE!</v>
      </c>
      <c r="L59" s="82" t="e">
        <f t="shared" si="68"/>
        <v>#VALUE!</v>
      </c>
      <c r="M59" s="82" t="e">
        <f t="shared" si="68"/>
        <v>#VALUE!</v>
      </c>
      <c r="N59" s="82" t="e">
        <f t="shared" si="68"/>
        <v>#VALUE!</v>
      </c>
      <c r="O59" s="82" t="e">
        <f t="shared" si="68"/>
        <v>#VALUE!</v>
      </c>
      <c r="P59" s="82" t="e">
        <f t="shared" si="68"/>
        <v>#VALUE!</v>
      </c>
      <c r="Q59" s="82" t="e">
        <f t="shared" si="68"/>
        <v>#VALUE!</v>
      </c>
      <c r="R59" s="82" t="e">
        <f t="shared" si="68"/>
        <v>#VALUE!</v>
      </c>
      <c r="S59" s="82" t="e">
        <f t="shared" si="68"/>
        <v>#VALUE!</v>
      </c>
      <c r="T59" s="83" t="e">
        <f>IF('Production Data-Table'!H69="",#N/A,'Production Data-Table'!H69)</f>
        <v>#N/A</v>
      </c>
      <c r="U59" s="84" t="e">
        <f t="shared" si="44"/>
        <v>#VALUE!</v>
      </c>
      <c r="V59" s="84" t="e">
        <f t="shared" si="64"/>
        <v>#VALUE!</v>
      </c>
      <c r="W59" s="84" t="e">
        <f t="shared" si="64"/>
        <v>#VALUE!</v>
      </c>
      <c r="X59" s="84" t="e">
        <f t="shared" si="64"/>
        <v>#VALUE!</v>
      </c>
      <c r="Y59" s="84" t="e">
        <f t="shared" si="64"/>
        <v>#VALUE!</v>
      </c>
      <c r="Z59" s="84" t="e">
        <f t="shared" si="64"/>
        <v>#VALUE!</v>
      </c>
      <c r="AA59" s="84" t="e">
        <f t="shared" si="64"/>
        <v>#VALUE!</v>
      </c>
      <c r="AB59" s="84" t="str">
        <f>Standard!G61</f>
        <v/>
      </c>
      <c r="AC59" s="84" t="e">
        <f t="shared" si="65"/>
        <v>#VALUE!</v>
      </c>
      <c r="AD59" s="84" t="e">
        <f t="shared" si="65"/>
        <v>#VALUE!</v>
      </c>
      <c r="AE59" s="84" t="e">
        <f t="shared" si="65"/>
        <v>#VALUE!</v>
      </c>
      <c r="AF59" s="84" t="e">
        <f t="shared" si="65"/>
        <v>#VALUE!</v>
      </c>
      <c r="AG59" s="84" t="e">
        <f t="shared" si="65"/>
        <v>#VALUE!</v>
      </c>
      <c r="AH59" s="84" t="e">
        <f t="shared" si="65"/>
        <v>#VALUE!</v>
      </c>
      <c r="AI59" s="84" t="e">
        <f t="shared" si="65"/>
        <v>#VALUE!</v>
      </c>
      <c r="AJ59" s="84" t="e">
        <f>IF('Production Data-Table'!M69="",#N/A,'Production Data-Table'!M69)</f>
        <v>#N/A</v>
      </c>
      <c r="AK59" s="86" t="e">
        <f t="shared" si="4"/>
        <v>#VALUE!</v>
      </c>
      <c r="AL59" s="86" t="e">
        <f t="shared" si="5"/>
        <v>#N/A</v>
      </c>
      <c r="AM59" s="86" t="str">
        <f>Standard!B61</f>
        <v/>
      </c>
      <c r="AN59" s="87" t="e">
        <f>IF('Production Data-Table'!AH69&lt;&gt;"",'Production Data-Table'!AH69,#N/A)</f>
        <v>#N/A</v>
      </c>
      <c r="AO59" s="97" t="e">
        <f>IF('Production Data-Table'!AC70="",#N/A,'Production Data-Table'!AC68*100)</f>
        <v>#N/A</v>
      </c>
      <c r="AP59" s="97" t="e">
        <f>IF('Production Data-Table'!AE70&lt;&gt;"",'Production Data-Table'!AE68*100,#N/A)</f>
        <v>#N/A</v>
      </c>
      <c r="AQ59" s="97" t="e">
        <f>IF('Production Data-Table'!AG70&lt;&gt;"",'Production Data-Table'!AG68*100,#N/A)</f>
        <v>#N/A</v>
      </c>
      <c r="AR59" s="113" t="e">
        <f>Standard!H61/7</f>
        <v>#VALUE!</v>
      </c>
      <c r="AS59" s="113" t="e">
        <f>IF('Production Data-Table'!O68="",#N/A,'Production Data-Table'!O68/7)</f>
        <v>#N/A</v>
      </c>
      <c r="AT59" s="1" t="e">
        <f>IF('Production Data-Table'!G68&lt;&gt;"",'Production Data-Table'!S68,#N/A)</f>
        <v>#N/A</v>
      </c>
      <c r="AU59" s="1" t="e">
        <f>IF('Production Data-Table'!Z68&lt;&gt;"",'Production Data-Table'!Z68,#N/A)</f>
        <v>#N/A</v>
      </c>
    </row>
    <row r="60" spans="2:47" x14ac:dyDescent="0.2">
      <c r="B60" s="1">
        <v>72</v>
      </c>
      <c r="C60" s="93" t="e">
        <f>100-Standard!E62</f>
        <v>#VALUE!</v>
      </c>
      <c r="D60" s="85" t="e">
        <f>IF('Production Data-Table'!E70="",#N/A,'Production Data-Table'!E70*100)</f>
        <v>#N/A</v>
      </c>
      <c r="E60" s="82" t="str">
        <f>Standard!D62</f>
        <v/>
      </c>
      <c r="F60" s="82" t="e">
        <f t="shared" ref="F60:S60" si="69">E60*$E$3</f>
        <v>#VALUE!</v>
      </c>
      <c r="G60" s="82" t="e">
        <f t="shared" si="69"/>
        <v>#VALUE!</v>
      </c>
      <c r="H60" s="82" t="e">
        <f t="shared" si="69"/>
        <v>#VALUE!</v>
      </c>
      <c r="I60" s="82" t="e">
        <f t="shared" si="69"/>
        <v>#VALUE!</v>
      </c>
      <c r="J60" s="82" t="e">
        <f t="shared" si="69"/>
        <v>#VALUE!</v>
      </c>
      <c r="K60" s="82" t="e">
        <f t="shared" si="69"/>
        <v>#VALUE!</v>
      </c>
      <c r="L60" s="82" t="e">
        <f t="shared" si="69"/>
        <v>#VALUE!</v>
      </c>
      <c r="M60" s="82" t="e">
        <f t="shared" si="69"/>
        <v>#VALUE!</v>
      </c>
      <c r="N60" s="82" t="e">
        <f t="shared" si="69"/>
        <v>#VALUE!</v>
      </c>
      <c r="O60" s="82" t="e">
        <f t="shared" si="69"/>
        <v>#VALUE!</v>
      </c>
      <c r="P60" s="82" t="e">
        <f t="shared" si="69"/>
        <v>#VALUE!</v>
      </c>
      <c r="Q60" s="82" t="e">
        <f t="shared" si="69"/>
        <v>#VALUE!</v>
      </c>
      <c r="R60" s="82" t="e">
        <f t="shared" si="69"/>
        <v>#VALUE!</v>
      </c>
      <c r="S60" s="82" t="e">
        <f t="shared" si="69"/>
        <v>#VALUE!</v>
      </c>
      <c r="T60" s="83" t="e">
        <f>IF('Production Data-Table'!H70="",#N/A,'Production Data-Table'!H70)</f>
        <v>#N/A</v>
      </c>
      <c r="U60" s="84" t="e">
        <f t="shared" si="44"/>
        <v>#VALUE!</v>
      </c>
      <c r="V60" s="84" t="e">
        <f t="shared" si="64"/>
        <v>#VALUE!</v>
      </c>
      <c r="W60" s="84" t="e">
        <f t="shared" si="64"/>
        <v>#VALUE!</v>
      </c>
      <c r="X60" s="84" t="e">
        <f t="shared" si="64"/>
        <v>#VALUE!</v>
      </c>
      <c r="Y60" s="84" t="e">
        <f t="shared" si="64"/>
        <v>#VALUE!</v>
      </c>
      <c r="Z60" s="84" t="e">
        <f t="shared" si="64"/>
        <v>#VALUE!</v>
      </c>
      <c r="AA60" s="84" t="e">
        <f t="shared" si="64"/>
        <v>#VALUE!</v>
      </c>
      <c r="AB60" s="84" t="str">
        <f>Standard!G62</f>
        <v/>
      </c>
      <c r="AC60" s="84" t="e">
        <f t="shared" si="65"/>
        <v>#VALUE!</v>
      </c>
      <c r="AD60" s="84" t="e">
        <f t="shared" si="65"/>
        <v>#VALUE!</v>
      </c>
      <c r="AE60" s="84" t="e">
        <f t="shared" si="65"/>
        <v>#VALUE!</v>
      </c>
      <c r="AF60" s="84" t="e">
        <f t="shared" si="65"/>
        <v>#VALUE!</v>
      </c>
      <c r="AG60" s="84" t="e">
        <f t="shared" si="65"/>
        <v>#VALUE!</v>
      </c>
      <c r="AH60" s="84" t="e">
        <f t="shared" si="65"/>
        <v>#VALUE!</v>
      </c>
      <c r="AI60" s="84" t="e">
        <f t="shared" si="65"/>
        <v>#VALUE!</v>
      </c>
      <c r="AJ60" s="84" t="e">
        <f>IF('Production Data-Table'!M70="",#N/A,'Production Data-Table'!M70)</f>
        <v>#N/A</v>
      </c>
      <c r="AK60" s="86" t="e">
        <f t="shared" si="4"/>
        <v>#VALUE!</v>
      </c>
      <c r="AL60" s="86" t="e">
        <f t="shared" si="5"/>
        <v>#N/A</v>
      </c>
      <c r="AM60" s="86" t="str">
        <f>Standard!B62</f>
        <v/>
      </c>
      <c r="AN60" s="87" t="e">
        <f>IF('Production Data-Table'!AH70&lt;&gt;"",'Production Data-Table'!AH70,#N/A)</f>
        <v>#N/A</v>
      </c>
      <c r="AO60" s="97" t="e">
        <f>IF('Production Data-Table'!AC71="",#N/A,'Production Data-Table'!AC69*100)</f>
        <v>#N/A</v>
      </c>
      <c r="AP60" s="97" t="e">
        <f>IF('Production Data-Table'!AE71&lt;&gt;"",'Production Data-Table'!AE69*100,#N/A)</f>
        <v>#N/A</v>
      </c>
      <c r="AQ60" s="97" t="e">
        <f>IF('Production Data-Table'!AG71&lt;&gt;"",'Production Data-Table'!AG69*100,#N/A)</f>
        <v>#N/A</v>
      </c>
      <c r="AR60" s="113" t="e">
        <f>Standard!H62/7</f>
        <v>#VALUE!</v>
      </c>
      <c r="AS60" s="113" t="e">
        <f>IF('Production Data-Table'!O69="",#N/A,'Production Data-Table'!O69/7)</f>
        <v>#N/A</v>
      </c>
      <c r="AT60" s="1" t="e">
        <f>IF('Production Data-Table'!G69&lt;&gt;"",'Production Data-Table'!S69,#N/A)</f>
        <v>#N/A</v>
      </c>
      <c r="AU60" s="1" t="e">
        <f>IF('Production Data-Table'!Z69&lt;&gt;"",'Production Data-Table'!Z69,#N/A)</f>
        <v>#N/A</v>
      </c>
    </row>
    <row r="61" spans="2:47" x14ac:dyDescent="0.2">
      <c r="B61" s="1">
        <v>73</v>
      </c>
      <c r="C61" s="93" t="e">
        <f>100-Standard!E63</f>
        <v>#VALUE!</v>
      </c>
      <c r="D61" s="85" t="e">
        <f>IF('Production Data-Table'!E71="",#N/A,'Production Data-Table'!E71*100)</f>
        <v>#N/A</v>
      </c>
      <c r="E61" s="82" t="str">
        <f>Standard!D63</f>
        <v/>
      </c>
      <c r="F61" s="82" t="e">
        <f t="shared" ref="F61:S61" si="70">E61*$E$3</f>
        <v>#VALUE!</v>
      </c>
      <c r="G61" s="82" t="e">
        <f t="shared" si="70"/>
        <v>#VALUE!</v>
      </c>
      <c r="H61" s="82" t="e">
        <f t="shared" si="70"/>
        <v>#VALUE!</v>
      </c>
      <c r="I61" s="82" t="e">
        <f t="shared" si="70"/>
        <v>#VALUE!</v>
      </c>
      <c r="J61" s="82" t="e">
        <f t="shared" si="70"/>
        <v>#VALUE!</v>
      </c>
      <c r="K61" s="82" t="e">
        <f t="shared" si="70"/>
        <v>#VALUE!</v>
      </c>
      <c r="L61" s="82" t="e">
        <f t="shared" si="70"/>
        <v>#VALUE!</v>
      </c>
      <c r="M61" s="82" t="e">
        <f t="shared" si="70"/>
        <v>#VALUE!</v>
      </c>
      <c r="N61" s="82" t="e">
        <f t="shared" si="70"/>
        <v>#VALUE!</v>
      </c>
      <c r="O61" s="82" t="e">
        <f t="shared" si="70"/>
        <v>#VALUE!</v>
      </c>
      <c r="P61" s="82" t="e">
        <f t="shared" si="70"/>
        <v>#VALUE!</v>
      </c>
      <c r="Q61" s="82" t="e">
        <f t="shared" si="70"/>
        <v>#VALUE!</v>
      </c>
      <c r="R61" s="82" t="e">
        <f t="shared" si="70"/>
        <v>#VALUE!</v>
      </c>
      <c r="S61" s="82" t="e">
        <f t="shared" si="70"/>
        <v>#VALUE!</v>
      </c>
      <c r="T61" s="83" t="e">
        <f>IF('Production Data-Table'!H71="",#N/A,'Production Data-Table'!H71)</f>
        <v>#N/A</v>
      </c>
      <c r="U61" s="84" t="e">
        <f t="shared" si="44"/>
        <v>#VALUE!</v>
      </c>
      <c r="V61" s="84" t="e">
        <f t="shared" si="64"/>
        <v>#VALUE!</v>
      </c>
      <c r="W61" s="84" t="e">
        <f t="shared" si="64"/>
        <v>#VALUE!</v>
      </c>
      <c r="X61" s="84" t="e">
        <f t="shared" si="64"/>
        <v>#VALUE!</v>
      </c>
      <c r="Y61" s="84" t="e">
        <f t="shared" si="64"/>
        <v>#VALUE!</v>
      </c>
      <c r="Z61" s="84" t="e">
        <f t="shared" si="64"/>
        <v>#VALUE!</v>
      </c>
      <c r="AA61" s="84" t="e">
        <f t="shared" si="64"/>
        <v>#VALUE!</v>
      </c>
      <c r="AB61" s="84" t="str">
        <f>Standard!G63</f>
        <v/>
      </c>
      <c r="AC61" s="84" t="e">
        <f t="shared" si="65"/>
        <v>#VALUE!</v>
      </c>
      <c r="AD61" s="84" t="e">
        <f t="shared" si="65"/>
        <v>#VALUE!</v>
      </c>
      <c r="AE61" s="84" t="e">
        <f t="shared" si="65"/>
        <v>#VALUE!</v>
      </c>
      <c r="AF61" s="84" t="e">
        <f t="shared" si="65"/>
        <v>#VALUE!</v>
      </c>
      <c r="AG61" s="84" t="e">
        <f t="shared" si="65"/>
        <v>#VALUE!</v>
      </c>
      <c r="AH61" s="84" t="e">
        <f t="shared" si="65"/>
        <v>#VALUE!</v>
      </c>
      <c r="AI61" s="84" t="e">
        <f t="shared" si="65"/>
        <v>#VALUE!</v>
      </c>
      <c r="AJ61" s="84" t="e">
        <f>IF('Production Data-Table'!M71="",#N/A,'Production Data-Table'!M71)</f>
        <v>#N/A</v>
      </c>
      <c r="AK61" s="86" t="e">
        <f t="shared" si="4"/>
        <v>#VALUE!</v>
      </c>
      <c r="AL61" s="86" t="e">
        <f t="shared" si="5"/>
        <v>#N/A</v>
      </c>
      <c r="AM61" s="86" t="str">
        <f>Standard!B63</f>
        <v/>
      </c>
      <c r="AN61" s="87" t="e">
        <f>IF('Production Data-Table'!AH71&lt;&gt;"",'Production Data-Table'!AH71,#N/A)</f>
        <v>#N/A</v>
      </c>
      <c r="AO61" s="97" t="e">
        <f>IF('Production Data-Table'!AC72="",#N/A,'Production Data-Table'!AC70*100)</f>
        <v>#N/A</v>
      </c>
      <c r="AP61" s="97" t="e">
        <f>IF('Production Data-Table'!AE72&lt;&gt;"",'Production Data-Table'!AE70*100,#N/A)</f>
        <v>#N/A</v>
      </c>
      <c r="AQ61" s="97" t="e">
        <f>IF('Production Data-Table'!AG72&lt;&gt;"",'Production Data-Table'!AG70*100,#N/A)</f>
        <v>#N/A</v>
      </c>
      <c r="AR61" s="113" t="e">
        <f>Standard!H63/7</f>
        <v>#VALUE!</v>
      </c>
      <c r="AS61" s="113" t="e">
        <f>IF('Production Data-Table'!O70="",#N/A,'Production Data-Table'!O70/7)</f>
        <v>#N/A</v>
      </c>
      <c r="AT61" s="1" t="e">
        <f>IF('Production Data-Table'!G70&lt;&gt;"",'Production Data-Table'!S70,#N/A)</f>
        <v>#N/A</v>
      </c>
      <c r="AU61" s="1" t="e">
        <f>IF('Production Data-Table'!Z70&lt;&gt;"",'Production Data-Table'!Z70,#N/A)</f>
        <v>#N/A</v>
      </c>
    </row>
    <row r="62" spans="2:47" x14ac:dyDescent="0.2">
      <c r="B62" s="1">
        <v>74</v>
      </c>
      <c r="C62" s="93" t="e">
        <f>100-Standard!E64</f>
        <v>#VALUE!</v>
      </c>
      <c r="D62" s="85" t="e">
        <f>IF('Production Data-Table'!E72="",#N/A,'Production Data-Table'!E72*100)</f>
        <v>#N/A</v>
      </c>
      <c r="E62" s="82" t="str">
        <f>Standard!D64</f>
        <v/>
      </c>
      <c r="F62" s="82" t="e">
        <f t="shared" ref="F62:S62" si="71">E62*$E$3</f>
        <v>#VALUE!</v>
      </c>
      <c r="G62" s="82" t="e">
        <f t="shared" si="71"/>
        <v>#VALUE!</v>
      </c>
      <c r="H62" s="82" t="e">
        <f t="shared" si="71"/>
        <v>#VALUE!</v>
      </c>
      <c r="I62" s="82" t="e">
        <f t="shared" si="71"/>
        <v>#VALUE!</v>
      </c>
      <c r="J62" s="82" t="e">
        <f t="shared" si="71"/>
        <v>#VALUE!</v>
      </c>
      <c r="K62" s="82" t="e">
        <f t="shared" si="71"/>
        <v>#VALUE!</v>
      </c>
      <c r="L62" s="82" t="e">
        <f t="shared" si="71"/>
        <v>#VALUE!</v>
      </c>
      <c r="M62" s="82" t="e">
        <f t="shared" si="71"/>
        <v>#VALUE!</v>
      </c>
      <c r="N62" s="82" t="e">
        <f t="shared" si="71"/>
        <v>#VALUE!</v>
      </c>
      <c r="O62" s="82" t="e">
        <f t="shared" si="71"/>
        <v>#VALUE!</v>
      </c>
      <c r="P62" s="82" t="e">
        <f t="shared" si="71"/>
        <v>#VALUE!</v>
      </c>
      <c r="Q62" s="82" t="e">
        <f t="shared" si="71"/>
        <v>#VALUE!</v>
      </c>
      <c r="R62" s="82" t="e">
        <f t="shared" si="71"/>
        <v>#VALUE!</v>
      </c>
      <c r="S62" s="82" t="e">
        <f t="shared" si="71"/>
        <v>#VALUE!</v>
      </c>
      <c r="T62" s="83" t="e">
        <f>IF('Production Data-Table'!H72="",#N/A,'Production Data-Table'!H72)</f>
        <v>#N/A</v>
      </c>
      <c r="U62" s="84" t="e">
        <f t="shared" si="44"/>
        <v>#VALUE!</v>
      </c>
      <c r="V62" s="84" t="e">
        <f t="shared" si="64"/>
        <v>#VALUE!</v>
      </c>
      <c r="W62" s="84" t="e">
        <f t="shared" si="64"/>
        <v>#VALUE!</v>
      </c>
      <c r="X62" s="84" t="e">
        <f t="shared" si="64"/>
        <v>#VALUE!</v>
      </c>
      <c r="Y62" s="84" t="e">
        <f t="shared" si="64"/>
        <v>#VALUE!</v>
      </c>
      <c r="Z62" s="84" t="e">
        <f t="shared" si="64"/>
        <v>#VALUE!</v>
      </c>
      <c r="AA62" s="84" t="e">
        <f t="shared" si="64"/>
        <v>#VALUE!</v>
      </c>
      <c r="AB62" s="84" t="str">
        <f>Standard!G64</f>
        <v/>
      </c>
      <c r="AC62" s="84" t="e">
        <f t="shared" si="65"/>
        <v>#VALUE!</v>
      </c>
      <c r="AD62" s="84" t="e">
        <f t="shared" si="65"/>
        <v>#VALUE!</v>
      </c>
      <c r="AE62" s="84" t="e">
        <f t="shared" si="65"/>
        <v>#VALUE!</v>
      </c>
      <c r="AF62" s="84" t="e">
        <f t="shared" si="65"/>
        <v>#VALUE!</v>
      </c>
      <c r="AG62" s="84" t="e">
        <f t="shared" si="65"/>
        <v>#VALUE!</v>
      </c>
      <c r="AH62" s="84" t="e">
        <f t="shared" si="65"/>
        <v>#VALUE!</v>
      </c>
      <c r="AI62" s="84" t="e">
        <f t="shared" si="65"/>
        <v>#VALUE!</v>
      </c>
      <c r="AJ62" s="84" t="e">
        <f>IF('Production Data-Table'!M72="",#N/A,'Production Data-Table'!M72)</f>
        <v>#N/A</v>
      </c>
      <c r="AK62" s="86" t="e">
        <f t="shared" si="4"/>
        <v>#VALUE!</v>
      </c>
      <c r="AL62" s="86" t="e">
        <f t="shared" si="5"/>
        <v>#N/A</v>
      </c>
      <c r="AM62" s="86" t="str">
        <f>Standard!B64</f>
        <v/>
      </c>
      <c r="AN62" s="87" t="e">
        <f>IF('Production Data-Table'!AH72&lt;&gt;"",'Production Data-Table'!AH72,#N/A)</f>
        <v>#N/A</v>
      </c>
      <c r="AO62" s="97" t="e">
        <f>IF('Production Data-Table'!AC73="",#N/A,'Production Data-Table'!AC71*100)</f>
        <v>#N/A</v>
      </c>
      <c r="AP62" s="97" t="e">
        <f>IF('Production Data-Table'!AE73&lt;&gt;"",'Production Data-Table'!AE71*100,#N/A)</f>
        <v>#N/A</v>
      </c>
      <c r="AQ62" s="97" t="e">
        <f>IF('Production Data-Table'!AG73&lt;&gt;"",'Production Data-Table'!AG71*100,#N/A)</f>
        <v>#N/A</v>
      </c>
      <c r="AR62" s="113" t="e">
        <f>Standard!H64/7</f>
        <v>#VALUE!</v>
      </c>
      <c r="AS62" s="113" t="e">
        <f>IF('Production Data-Table'!O71="",#N/A,'Production Data-Table'!O71/7)</f>
        <v>#N/A</v>
      </c>
      <c r="AT62" s="1" t="e">
        <f>IF('Production Data-Table'!G71&lt;&gt;"",'Production Data-Table'!S71,#N/A)</f>
        <v>#N/A</v>
      </c>
      <c r="AU62" s="1" t="e">
        <f>IF('Production Data-Table'!Z71&lt;&gt;"",'Production Data-Table'!Z71,#N/A)</f>
        <v>#N/A</v>
      </c>
    </row>
    <row r="63" spans="2:47" x14ac:dyDescent="0.2">
      <c r="B63" s="1">
        <v>75</v>
      </c>
      <c r="C63" s="93" t="e">
        <f>100-Standard!E65</f>
        <v>#VALUE!</v>
      </c>
      <c r="D63" s="85" t="e">
        <f>IF('Production Data-Table'!E73="",#N/A,'Production Data-Table'!E73*100)</f>
        <v>#N/A</v>
      </c>
      <c r="E63" s="82" t="str">
        <f>Standard!D65</f>
        <v/>
      </c>
      <c r="F63" s="82" t="e">
        <f t="shared" ref="F63:S63" si="72">E63*$E$3</f>
        <v>#VALUE!</v>
      </c>
      <c r="G63" s="82" t="e">
        <f t="shared" si="72"/>
        <v>#VALUE!</v>
      </c>
      <c r="H63" s="82" t="e">
        <f t="shared" si="72"/>
        <v>#VALUE!</v>
      </c>
      <c r="I63" s="82" t="e">
        <f t="shared" si="72"/>
        <v>#VALUE!</v>
      </c>
      <c r="J63" s="82" t="e">
        <f t="shared" si="72"/>
        <v>#VALUE!</v>
      </c>
      <c r="K63" s="82" t="e">
        <f t="shared" si="72"/>
        <v>#VALUE!</v>
      </c>
      <c r="L63" s="82" t="e">
        <f t="shared" si="72"/>
        <v>#VALUE!</v>
      </c>
      <c r="M63" s="82" t="e">
        <f t="shared" si="72"/>
        <v>#VALUE!</v>
      </c>
      <c r="N63" s="82" t="e">
        <f t="shared" si="72"/>
        <v>#VALUE!</v>
      </c>
      <c r="O63" s="82" t="e">
        <f t="shared" si="72"/>
        <v>#VALUE!</v>
      </c>
      <c r="P63" s="82" t="e">
        <f t="shared" si="72"/>
        <v>#VALUE!</v>
      </c>
      <c r="Q63" s="82" t="e">
        <f t="shared" si="72"/>
        <v>#VALUE!</v>
      </c>
      <c r="R63" s="82" t="e">
        <f t="shared" si="72"/>
        <v>#VALUE!</v>
      </c>
      <c r="S63" s="82" t="e">
        <f t="shared" si="72"/>
        <v>#VALUE!</v>
      </c>
      <c r="T63" s="83" t="e">
        <f>IF('Production Data-Table'!H73="",#N/A,'Production Data-Table'!H73)</f>
        <v>#N/A</v>
      </c>
      <c r="U63" s="84" t="e">
        <f t="shared" si="44"/>
        <v>#VALUE!</v>
      </c>
      <c r="V63" s="84" t="e">
        <f t="shared" si="64"/>
        <v>#VALUE!</v>
      </c>
      <c r="W63" s="84" t="e">
        <f t="shared" si="64"/>
        <v>#VALUE!</v>
      </c>
      <c r="X63" s="84" t="e">
        <f t="shared" si="64"/>
        <v>#VALUE!</v>
      </c>
      <c r="Y63" s="84" t="e">
        <f t="shared" si="64"/>
        <v>#VALUE!</v>
      </c>
      <c r="Z63" s="84" t="e">
        <f t="shared" si="64"/>
        <v>#VALUE!</v>
      </c>
      <c r="AA63" s="84" t="e">
        <f t="shared" si="64"/>
        <v>#VALUE!</v>
      </c>
      <c r="AB63" s="84" t="str">
        <f>Standard!G65</f>
        <v/>
      </c>
      <c r="AC63" s="84" t="e">
        <f t="shared" si="65"/>
        <v>#VALUE!</v>
      </c>
      <c r="AD63" s="84" t="e">
        <f t="shared" si="65"/>
        <v>#VALUE!</v>
      </c>
      <c r="AE63" s="84" t="e">
        <f t="shared" si="65"/>
        <v>#VALUE!</v>
      </c>
      <c r="AF63" s="84" t="e">
        <f t="shared" si="65"/>
        <v>#VALUE!</v>
      </c>
      <c r="AG63" s="84" t="e">
        <f t="shared" si="65"/>
        <v>#VALUE!</v>
      </c>
      <c r="AH63" s="84" t="e">
        <f t="shared" si="65"/>
        <v>#VALUE!</v>
      </c>
      <c r="AI63" s="84" t="e">
        <f t="shared" si="65"/>
        <v>#VALUE!</v>
      </c>
      <c r="AJ63" s="84" t="e">
        <f>IF('Production Data-Table'!M73="",#N/A,'Production Data-Table'!M73)</f>
        <v>#N/A</v>
      </c>
      <c r="AK63" s="86" t="e">
        <f t="shared" si="4"/>
        <v>#VALUE!</v>
      </c>
      <c r="AL63" s="86" t="e">
        <f t="shared" si="5"/>
        <v>#N/A</v>
      </c>
      <c r="AM63" s="86" t="str">
        <f>Standard!B65</f>
        <v/>
      </c>
      <c r="AN63" s="87" t="e">
        <f>IF('Production Data-Table'!AH73&lt;&gt;"",'Production Data-Table'!AH73,#N/A)</f>
        <v>#N/A</v>
      </c>
      <c r="AO63" s="97" t="e">
        <f>IF('Production Data-Table'!AC74="",#N/A,'Production Data-Table'!AC72*100)</f>
        <v>#N/A</v>
      </c>
      <c r="AP63" s="97" t="e">
        <f>IF('Production Data-Table'!AE74&lt;&gt;"",'Production Data-Table'!AE72*100,#N/A)</f>
        <v>#N/A</v>
      </c>
      <c r="AQ63" s="97" t="e">
        <f>IF('Production Data-Table'!AG74&lt;&gt;"",'Production Data-Table'!AG72*100,#N/A)</f>
        <v>#N/A</v>
      </c>
      <c r="AR63" s="113" t="e">
        <f>Standard!H65/7</f>
        <v>#VALUE!</v>
      </c>
      <c r="AS63" s="113" t="e">
        <f>IF('Production Data-Table'!O72="",#N/A,'Production Data-Table'!O72/7)</f>
        <v>#N/A</v>
      </c>
      <c r="AT63" s="1" t="e">
        <f>IF('Production Data-Table'!G72&lt;&gt;"",'Production Data-Table'!S72,#N/A)</f>
        <v>#N/A</v>
      </c>
      <c r="AU63" s="1" t="e">
        <f>IF('Production Data-Table'!Z72&lt;&gt;"",'Production Data-Table'!Z72,#N/A)</f>
        <v>#N/A</v>
      </c>
    </row>
    <row r="64" spans="2:47" x14ac:dyDescent="0.2">
      <c r="B64" s="1">
        <v>76</v>
      </c>
      <c r="C64" s="93" t="e">
        <f>100-Standard!E66</f>
        <v>#VALUE!</v>
      </c>
      <c r="D64" s="85" t="e">
        <f>IF('Production Data-Table'!E74="",#N/A,'Production Data-Table'!E74*100)</f>
        <v>#N/A</v>
      </c>
      <c r="E64" s="82" t="str">
        <f>Standard!D66</f>
        <v/>
      </c>
      <c r="F64" s="82" t="e">
        <f t="shared" ref="F64:S64" si="73">E64*$E$3</f>
        <v>#VALUE!</v>
      </c>
      <c r="G64" s="82" t="e">
        <f t="shared" si="73"/>
        <v>#VALUE!</v>
      </c>
      <c r="H64" s="82" t="e">
        <f t="shared" si="73"/>
        <v>#VALUE!</v>
      </c>
      <c r="I64" s="82" t="e">
        <f t="shared" si="73"/>
        <v>#VALUE!</v>
      </c>
      <c r="J64" s="82" t="e">
        <f t="shared" si="73"/>
        <v>#VALUE!</v>
      </c>
      <c r="K64" s="82" t="e">
        <f t="shared" si="73"/>
        <v>#VALUE!</v>
      </c>
      <c r="L64" s="82" t="e">
        <f t="shared" si="73"/>
        <v>#VALUE!</v>
      </c>
      <c r="M64" s="82" t="e">
        <f t="shared" si="73"/>
        <v>#VALUE!</v>
      </c>
      <c r="N64" s="82" t="e">
        <f t="shared" si="73"/>
        <v>#VALUE!</v>
      </c>
      <c r="O64" s="82" t="e">
        <f t="shared" si="73"/>
        <v>#VALUE!</v>
      </c>
      <c r="P64" s="82" t="e">
        <f t="shared" si="73"/>
        <v>#VALUE!</v>
      </c>
      <c r="Q64" s="82" t="e">
        <f t="shared" si="73"/>
        <v>#VALUE!</v>
      </c>
      <c r="R64" s="82" t="e">
        <f t="shared" si="73"/>
        <v>#VALUE!</v>
      </c>
      <c r="S64" s="82" t="e">
        <f t="shared" si="73"/>
        <v>#VALUE!</v>
      </c>
      <c r="T64" s="83" t="e">
        <f>IF('Production Data-Table'!H74="",#N/A,'Production Data-Table'!H74)</f>
        <v>#N/A</v>
      </c>
      <c r="U64" s="84" t="e">
        <f t="shared" si="44"/>
        <v>#VALUE!</v>
      </c>
      <c r="V64" s="84" t="e">
        <f t="shared" si="64"/>
        <v>#VALUE!</v>
      </c>
      <c r="W64" s="84" t="e">
        <f t="shared" si="64"/>
        <v>#VALUE!</v>
      </c>
      <c r="X64" s="84" t="e">
        <f t="shared" si="64"/>
        <v>#VALUE!</v>
      </c>
      <c r="Y64" s="84" t="e">
        <f t="shared" si="64"/>
        <v>#VALUE!</v>
      </c>
      <c r="Z64" s="84" t="e">
        <f t="shared" si="64"/>
        <v>#VALUE!</v>
      </c>
      <c r="AA64" s="84" t="e">
        <f t="shared" si="64"/>
        <v>#VALUE!</v>
      </c>
      <c r="AB64" s="84" t="str">
        <f>Standard!G66</f>
        <v/>
      </c>
      <c r="AC64" s="84" t="e">
        <f t="shared" si="65"/>
        <v>#VALUE!</v>
      </c>
      <c r="AD64" s="84" t="e">
        <f t="shared" si="65"/>
        <v>#VALUE!</v>
      </c>
      <c r="AE64" s="84" t="e">
        <f t="shared" si="65"/>
        <v>#VALUE!</v>
      </c>
      <c r="AF64" s="84" t="e">
        <f t="shared" si="65"/>
        <v>#VALUE!</v>
      </c>
      <c r="AG64" s="84" t="e">
        <f t="shared" si="65"/>
        <v>#VALUE!</v>
      </c>
      <c r="AH64" s="84" t="e">
        <f t="shared" si="65"/>
        <v>#VALUE!</v>
      </c>
      <c r="AI64" s="84" t="e">
        <f t="shared" si="65"/>
        <v>#VALUE!</v>
      </c>
      <c r="AJ64" s="84" t="e">
        <f>IF('Production Data-Table'!M74="",#N/A,'Production Data-Table'!M74)</f>
        <v>#N/A</v>
      </c>
      <c r="AK64" s="86" t="e">
        <f t="shared" si="4"/>
        <v>#VALUE!</v>
      </c>
      <c r="AL64" s="86" t="e">
        <f t="shared" si="5"/>
        <v>#N/A</v>
      </c>
      <c r="AM64" s="86" t="str">
        <f>Standard!B66</f>
        <v/>
      </c>
      <c r="AN64" s="87" t="e">
        <f>IF('Production Data-Table'!AH74&lt;&gt;"",'Production Data-Table'!AH74,#N/A)</f>
        <v>#N/A</v>
      </c>
      <c r="AO64" s="97" t="e">
        <f>IF('Production Data-Table'!AC75="",#N/A,'Production Data-Table'!AC73*100)</f>
        <v>#N/A</v>
      </c>
      <c r="AP64" s="97" t="e">
        <f>IF('Production Data-Table'!AE75&lt;&gt;"",'Production Data-Table'!AE73*100,#N/A)</f>
        <v>#N/A</v>
      </c>
      <c r="AQ64" s="97" t="e">
        <f>IF('Production Data-Table'!AG75&lt;&gt;"",'Production Data-Table'!AG73*100,#N/A)</f>
        <v>#N/A</v>
      </c>
      <c r="AR64" s="113" t="e">
        <f>Standard!H66/7</f>
        <v>#VALUE!</v>
      </c>
      <c r="AS64" s="113" t="e">
        <f>IF('Production Data-Table'!O73="",#N/A,'Production Data-Table'!O73/7)</f>
        <v>#N/A</v>
      </c>
      <c r="AT64" s="1" t="e">
        <f>IF('Production Data-Table'!G73&lt;&gt;"",'Production Data-Table'!S73,#N/A)</f>
        <v>#N/A</v>
      </c>
      <c r="AU64" s="1" t="e">
        <f>IF('Production Data-Table'!Z73&lt;&gt;"",'Production Data-Table'!Z73,#N/A)</f>
        <v>#N/A</v>
      </c>
    </row>
    <row r="65" spans="2:47" x14ac:dyDescent="0.2">
      <c r="B65" s="1">
        <v>77</v>
      </c>
      <c r="C65" s="93" t="e">
        <f>100-Standard!E67</f>
        <v>#VALUE!</v>
      </c>
      <c r="D65" s="85" t="e">
        <f>IF('Production Data-Table'!E75="",#N/A,'Production Data-Table'!E75*100)</f>
        <v>#N/A</v>
      </c>
      <c r="E65" s="82" t="str">
        <f>Standard!D67</f>
        <v/>
      </c>
      <c r="F65" s="82" t="e">
        <f t="shared" ref="F65:S65" si="74">E65*$E$3</f>
        <v>#VALUE!</v>
      </c>
      <c r="G65" s="82" t="e">
        <f t="shared" si="74"/>
        <v>#VALUE!</v>
      </c>
      <c r="H65" s="82" t="e">
        <f t="shared" si="74"/>
        <v>#VALUE!</v>
      </c>
      <c r="I65" s="82" t="e">
        <f t="shared" si="74"/>
        <v>#VALUE!</v>
      </c>
      <c r="J65" s="82" t="e">
        <f t="shared" si="74"/>
        <v>#VALUE!</v>
      </c>
      <c r="K65" s="82" t="e">
        <f t="shared" si="74"/>
        <v>#VALUE!</v>
      </c>
      <c r="L65" s="82" t="e">
        <f t="shared" si="74"/>
        <v>#VALUE!</v>
      </c>
      <c r="M65" s="82" t="e">
        <f t="shared" si="74"/>
        <v>#VALUE!</v>
      </c>
      <c r="N65" s="82" t="e">
        <f t="shared" si="74"/>
        <v>#VALUE!</v>
      </c>
      <c r="O65" s="82" t="e">
        <f t="shared" si="74"/>
        <v>#VALUE!</v>
      </c>
      <c r="P65" s="82" t="e">
        <f t="shared" si="74"/>
        <v>#VALUE!</v>
      </c>
      <c r="Q65" s="82" t="e">
        <f t="shared" si="74"/>
        <v>#VALUE!</v>
      </c>
      <c r="R65" s="82" t="e">
        <f t="shared" si="74"/>
        <v>#VALUE!</v>
      </c>
      <c r="S65" s="82" t="e">
        <f t="shared" si="74"/>
        <v>#VALUE!</v>
      </c>
      <c r="T65" s="83" t="e">
        <f>IF('Production Data-Table'!H75="",#N/A,'Production Data-Table'!H75)</f>
        <v>#N/A</v>
      </c>
      <c r="U65" s="84" t="e">
        <f t="shared" si="44"/>
        <v>#VALUE!</v>
      </c>
      <c r="V65" s="84" t="e">
        <f t="shared" si="64"/>
        <v>#VALUE!</v>
      </c>
      <c r="W65" s="84" t="e">
        <f t="shared" si="64"/>
        <v>#VALUE!</v>
      </c>
      <c r="X65" s="84" t="e">
        <f t="shared" si="64"/>
        <v>#VALUE!</v>
      </c>
      <c r="Y65" s="84" t="e">
        <f t="shared" si="64"/>
        <v>#VALUE!</v>
      </c>
      <c r="Z65" s="84" t="e">
        <f t="shared" si="64"/>
        <v>#VALUE!</v>
      </c>
      <c r="AA65" s="84" t="e">
        <f t="shared" si="64"/>
        <v>#VALUE!</v>
      </c>
      <c r="AB65" s="84" t="str">
        <f>Standard!G67</f>
        <v/>
      </c>
      <c r="AC65" s="84" t="e">
        <f t="shared" si="65"/>
        <v>#VALUE!</v>
      </c>
      <c r="AD65" s="84" t="e">
        <f t="shared" si="65"/>
        <v>#VALUE!</v>
      </c>
      <c r="AE65" s="84" t="e">
        <f t="shared" si="65"/>
        <v>#VALUE!</v>
      </c>
      <c r="AF65" s="84" t="e">
        <f t="shared" si="65"/>
        <v>#VALUE!</v>
      </c>
      <c r="AG65" s="84" t="e">
        <f t="shared" si="65"/>
        <v>#VALUE!</v>
      </c>
      <c r="AH65" s="84" t="e">
        <f t="shared" si="65"/>
        <v>#VALUE!</v>
      </c>
      <c r="AI65" s="84" t="e">
        <f t="shared" si="65"/>
        <v>#VALUE!</v>
      </c>
      <c r="AJ65" s="84" t="e">
        <f>IF('Production Data-Table'!M75="",#N/A,'Production Data-Table'!M75)</f>
        <v>#N/A</v>
      </c>
      <c r="AK65" s="86" t="e">
        <f t="shared" si="4"/>
        <v>#VALUE!</v>
      </c>
      <c r="AL65" s="86" t="e">
        <f t="shared" si="5"/>
        <v>#N/A</v>
      </c>
      <c r="AM65" s="86" t="str">
        <f>Standard!B67</f>
        <v/>
      </c>
      <c r="AN65" s="87" t="e">
        <f>IF('Production Data-Table'!AH75&lt;&gt;"",'Production Data-Table'!AH75,#N/A)</f>
        <v>#N/A</v>
      </c>
      <c r="AO65" s="97" t="e">
        <f>IF('Production Data-Table'!AC76="",#N/A,'Production Data-Table'!AC74*100)</f>
        <v>#N/A</v>
      </c>
      <c r="AP65" s="97" t="e">
        <f>IF('Production Data-Table'!AE76&lt;&gt;"",'Production Data-Table'!AE74*100,#N/A)</f>
        <v>#N/A</v>
      </c>
      <c r="AQ65" s="97" t="e">
        <f>IF('Production Data-Table'!AG76&lt;&gt;"",'Production Data-Table'!AG74*100,#N/A)</f>
        <v>#N/A</v>
      </c>
      <c r="AR65" s="113" t="e">
        <f>Standard!H67/7</f>
        <v>#VALUE!</v>
      </c>
      <c r="AS65" s="113" t="e">
        <f>IF('Production Data-Table'!O74="",#N/A,'Production Data-Table'!O74/7)</f>
        <v>#N/A</v>
      </c>
      <c r="AT65" s="1" t="e">
        <f>IF('Production Data-Table'!G74&lt;&gt;"",'Production Data-Table'!S74,#N/A)</f>
        <v>#N/A</v>
      </c>
      <c r="AU65" s="1" t="e">
        <f>IF('Production Data-Table'!Z74&lt;&gt;"",'Production Data-Table'!Z74,#N/A)</f>
        <v>#N/A</v>
      </c>
    </row>
    <row r="66" spans="2:47" x14ac:dyDescent="0.2">
      <c r="B66" s="1">
        <v>78</v>
      </c>
      <c r="C66" s="93" t="e">
        <f>100-Standard!E68</f>
        <v>#VALUE!</v>
      </c>
      <c r="D66" s="85" t="e">
        <f>IF('Production Data-Table'!E76="",#N/A,'Production Data-Table'!E76*100)</f>
        <v>#N/A</v>
      </c>
      <c r="E66" s="82" t="str">
        <f>Standard!D68</f>
        <v/>
      </c>
      <c r="F66" s="82" t="e">
        <f t="shared" ref="F66:S66" si="75">E66*$E$3</f>
        <v>#VALUE!</v>
      </c>
      <c r="G66" s="82" t="e">
        <f t="shared" si="75"/>
        <v>#VALUE!</v>
      </c>
      <c r="H66" s="82" t="e">
        <f t="shared" si="75"/>
        <v>#VALUE!</v>
      </c>
      <c r="I66" s="82" t="e">
        <f t="shared" si="75"/>
        <v>#VALUE!</v>
      </c>
      <c r="J66" s="82" t="e">
        <f t="shared" si="75"/>
        <v>#VALUE!</v>
      </c>
      <c r="K66" s="82" t="e">
        <f t="shared" si="75"/>
        <v>#VALUE!</v>
      </c>
      <c r="L66" s="82" t="e">
        <f t="shared" si="75"/>
        <v>#VALUE!</v>
      </c>
      <c r="M66" s="82" t="e">
        <f t="shared" si="75"/>
        <v>#VALUE!</v>
      </c>
      <c r="N66" s="82" t="e">
        <f t="shared" si="75"/>
        <v>#VALUE!</v>
      </c>
      <c r="O66" s="82" t="e">
        <f t="shared" si="75"/>
        <v>#VALUE!</v>
      </c>
      <c r="P66" s="82" t="e">
        <f t="shared" si="75"/>
        <v>#VALUE!</v>
      </c>
      <c r="Q66" s="82" t="e">
        <f t="shared" si="75"/>
        <v>#VALUE!</v>
      </c>
      <c r="R66" s="82" t="e">
        <f t="shared" si="75"/>
        <v>#VALUE!</v>
      </c>
      <c r="S66" s="82" t="e">
        <f t="shared" si="75"/>
        <v>#VALUE!</v>
      </c>
      <c r="T66" s="83" t="e">
        <f>IF('Production Data-Table'!H76="",#N/A,'Production Data-Table'!H76)</f>
        <v>#N/A</v>
      </c>
      <c r="U66" s="84" t="e">
        <f t="shared" si="44"/>
        <v>#VALUE!</v>
      </c>
      <c r="V66" s="84" t="e">
        <f t="shared" ref="V66:AA75" si="76">W66*$V$3</f>
        <v>#VALUE!</v>
      </c>
      <c r="W66" s="84" t="e">
        <f t="shared" si="76"/>
        <v>#VALUE!</v>
      </c>
      <c r="X66" s="84" t="e">
        <f t="shared" si="76"/>
        <v>#VALUE!</v>
      </c>
      <c r="Y66" s="84" t="e">
        <f t="shared" si="76"/>
        <v>#VALUE!</v>
      </c>
      <c r="Z66" s="84" t="e">
        <f t="shared" si="76"/>
        <v>#VALUE!</v>
      </c>
      <c r="AA66" s="84" t="e">
        <f t="shared" si="76"/>
        <v>#VALUE!</v>
      </c>
      <c r="AB66" s="84" t="str">
        <f>Standard!G68</f>
        <v/>
      </c>
      <c r="AC66" s="84" t="e">
        <f t="shared" ref="AC66:AI75" si="77">AB66*$U$3</f>
        <v>#VALUE!</v>
      </c>
      <c r="AD66" s="84" t="e">
        <f t="shared" si="77"/>
        <v>#VALUE!</v>
      </c>
      <c r="AE66" s="84" t="e">
        <f t="shared" si="77"/>
        <v>#VALUE!</v>
      </c>
      <c r="AF66" s="84" t="e">
        <f t="shared" si="77"/>
        <v>#VALUE!</v>
      </c>
      <c r="AG66" s="84" t="e">
        <f t="shared" si="77"/>
        <v>#VALUE!</v>
      </c>
      <c r="AH66" s="84" t="e">
        <f t="shared" si="77"/>
        <v>#VALUE!</v>
      </c>
      <c r="AI66" s="84" t="e">
        <f t="shared" si="77"/>
        <v>#VALUE!</v>
      </c>
      <c r="AJ66" s="84" t="e">
        <f>IF('Production Data-Table'!M76="",#N/A,'Production Data-Table'!M76)</f>
        <v>#N/A</v>
      </c>
      <c r="AK66" s="86" t="e">
        <f t="shared" si="4"/>
        <v>#VALUE!</v>
      </c>
      <c r="AL66" s="86" t="e">
        <f t="shared" si="5"/>
        <v>#N/A</v>
      </c>
      <c r="AM66" s="86" t="str">
        <f>Standard!B68</f>
        <v/>
      </c>
      <c r="AN66" s="87" t="e">
        <f>IF('Production Data-Table'!AH76&lt;&gt;"",'Production Data-Table'!AH76,#N/A)</f>
        <v>#N/A</v>
      </c>
      <c r="AO66" s="97" t="e">
        <f>IF('Production Data-Table'!AC77="",#N/A,'Production Data-Table'!AC75*100)</f>
        <v>#N/A</v>
      </c>
      <c r="AP66" s="97" t="e">
        <f>IF('Production Data-Table'!AE77&lt;&gt;"",'Production Data-Table'!AE75*100,#N/A)</f>
        <v>#N/A</v>
      </c>
      <c r="AQ66" s="97" t="e">
        <f>IF('Production Data-Table'!AG77&lt;&gt;"",'Production Data-Table'!AG75*100,#N/A)</f>
        <v>#N/A</v>
      </c>
      <c r="AR66" s="113" t="e">
        <f>Standard!H68/7</f>
        <v>#VALUE!</v>
      </c>
      <c r="AS66" s="113" t="e">
        <f>IF('Production Data-Table'!O75="",#N/A,'Production Data-Table'!O75/7)</f>
        <v>#N/A</v>
      </c>
      <c r="AT66" s="1" t="e">
        <f>IF('Production Data-Table'!G75&lt;&gt;"",'Production Data-Table'!S75,#N/A)</f>
        <v>#N/A</v>
      </c>
      <c r="AU66" s="1" t="e">
        <f>IF('Production Data-Table'!Z75&lt;&gt;"",'Production Data-Table'!Z75,#N/A)</f>
        <v>#N/A</v>
      </c>
    </row>
    <row r="67" spans="2:47" x14ac:dyDescent="0.2">
      <c r="B67" s="1">
        <v>79</v>
      </c>
      <c r="C67" s="93" t="e">
        <f>100-Standard!E69</f>
        <v>#VALUE!</v>
      </c>
      <c r="D67" s="85" t="e">
        <f>IF('Production Data-Table'!E77="",#N/A,'Production Data-Table'!E77*100)</f>
        <v>#N/A</v>
      </c>
      <c r="E67" s="82" t="str">
        <f>Standard!D69</f>
        <v/>
      </c>
      <c r="F67" s="82" t="e">
        <f t="shared" ref="F67:S67" si="78">E67*$E$3</f>
        <v>#VALUE!</v>
      </c>
      <c r="G67" s="82" t="e">
        <f t="shared" si="78"/>
        <v>#VALUE!</v>
      </c>
      <c r="H67" s="82" t="e">
        <f t="shared" si="78"/>
        <v>#VALUE!</v>
      </c>
      <c r="I67" s="82" t="e">
        <f t="shared" si="78"/>
        <v>#VALUE!</v>
      </c>
      <c r="J67" s="82" t="e">
        <f t="shared" si="78"/>
        <v>#VALUE!</v>
      </c>
      <c r="K67" s="82" t="e">
        <f t="shared" si="78"/>
        <v>#VALUE!</v>
      </c>
      <c r="L67" s="82" t="e">
        <f t="shared" si="78"/>
        <v>#VALUE!</v>
      </c>
      <c r="M67" s="82" t="e">
        <f t="shared" si="78"/>
        <v>#VALUE!</v>
      </c>
      <c r="N67" s="82" t="e">
        <f t="shared" si="78"/>
        <v>#VALUE!</v>
      </c>
      <c r="O67" s="82" t="e">
        <f t="shared" si="78"/>
        <v>#VALUE!</v>
      </c>
      <c r="P67" s="82" t="e">
        <f t="shared" si="78"/>
        <v>#VALUE!</v>
      </c>
      <c r="Q67" s="82" t="e">
        <f t="shared" si="78"/>
        <v>#VALUE!</v>
      </c>
      <c r="R67" s="82" t="e">
        <f t="shared" si="78"/>
        <v>#VALUE!</v>
      </c>
      <c r="S67" s="82" t="e">
        <f t="shared" si="78"/>
        <v>#VALUE!</v>
      </c>
      <c r="T67" s="83" t="e">
        <f>IF('Production Data-Table'!H77="",#N/A,'Production Data-Table'!H77)</f>
        <v>#N/A</v>
      </c>
      <c r="U67" s="84" t="e">
        <f t="shared" si="44"/>
        <v>#VALUE!</v>
      </c>
      <c r="V67" s="84" t="e">
        <f t="shared" si="76"/>
        <v>#VALUE!</v>
      </c>
      <c r="W67" s="84" t="e">
        <f t="shared" si="76"/>
        <v>#VALUE!</v>
      </c>
      <c r="X67" s="84" t="e">
        <f t="shared" si="76"/>
        <v>#VALUE!</v>
      </c>
      <c r="Y67" s="84" t="e">
        <f t="shared" si="76"/>
        <v>#VALUE!</v>
      </c>
      <c r="Z67" s="84" t="e">
        <f t="shared" si="76"/>
        <v>#VALUE!</v>
      </c>
      <c r="AA67" s="84" t="e">
        <f t="shared" si="76"/>
        <v>#VALUE!</v>
      </c>
      <c r="AB67" s="84" t="str">
        <f>Standard!G69</f>
        <v/>
      </c>
      <c r="AC67" s="84" t="e">
        <f t="shared" si="77"/>
        <v>#VALUE!</v>
      </c>
      <c r="AD67" s="84" t="e">
        <f t="shared" si="77"/>
        <v>#VALUE!</v>
      </c>
      <c r="AE67" s="84" t="e">
        <f t="shared" si="77"/>
        <v>#VALUE!</v>
      </c>
      <c r="AF67" s="84" t="e">
        <f t="shared" si="77"/>
        <v>#VALUE!</v>
      </c>
      <c r="AG67" s="84" t="e">
        <f t="shared" si="77"/>
        <v>#VALUE!</v>
      </c>
      <c r="AH67" s="84" t="e">
        <f t="shared" si="77"/>
        <v>#VALUE!</v>
      </c>
      <c r="AI67" s="84" t="e">
        <f t="shared" si="77"/>
        <v>#VALUE!</v>
      </c>
      <c r="AJ67" s="84" t="e">
        <f>IF('Production Data-Table'!M77="",#N/A,'Production Data-Table'!M77)</f>
        <v>#N/A</v>
      </c>
      <c r="AK67" s="86" t="e">
        <f t="shared" si="4"/>
        <v>#VALUE!</v>
      </c>
      <c r="AL67" s="86" t="e">
        <f t="shared" si="5"/>
        <v>#N/A</v>
      </c>
      <c r="AM67" s="86" t="str">
        <f>Standard!B69</f>
        <v/>
      </c>
      <c r="AN67" s="87" t="e">
        <f>IF('Production Data-Table'!AH77&lt;&gt;"",'Production Data-Table'!AH77,#N/A)</f>
        <v>#N/A</v>
      </c>
      <c r="AO67" s="97" t="e">
        <f>IF('Production Data-Table'!AC78="",#N/A,'Production Data-Table'!AC76*100)</f>
        <v>#N/A</v>
      </c>
      <c r="AP67" s="97" t="e">
        <f>IF('Production Data-Table'!AE78&lt;&gt;"",'Production Data-Table'!AE76*100,#N/A)</f>
        <v>#N/A</v>
      </c>
      <c r="AQ67" s="97" t="e">
        <f>IF('Production Data-Table'!AG78&lt;&gt;"",'Production Data-Table'!AG76*100,#N/A)</f>
        <v>#N/A</v>
      </c>
      <c r="AR67" s="113" t="e">
        <f>Standard!H69/7</f>
        <v>#VALUE!</v>
      </c>
      <c r="AS67" s="113" t="e">
        <f>IF('Production Data-Table'!O76="",#N/A,'Production Data-Table'!O76/7)</f>
        <v>#N/A</v>
      </c>
      <c r="AT67" s="1" t="e">
        <f>IF('Production Data-Table'!G76&lt;&gt;"",'Production Data-Table'!S76,#N/A)</f>
        <v>#N/A</v>
      </c>
      <c r="AU67" s="1" t="e">
        <f>IF('Production Data-Table'!Z76&lt;&gt;"",'Production Data-Table'!Z76,#N/A)</f>
        <v>#N/A</v>
      </c>
    </row>
    <row r="68" spans="2:47" x14ac:dyDescent="0.2">
      <c r="B68" s="1">
        <v>80</v>
      </c>
      <c r="C68" s="93" t="e">
        <f>100-Standard!E70</f>
        <v>#VALUE!</v>
      </c>
      <c r="D68" s="85" t="e">
        <f>IF('Production Data-Table'!E78="",#N/A,'Production Data-Table'!E78*100)</f>
        <v>#N/A</v>
      </c>
      <c r="E68" s="82" t="str">
        <f>Standard!D70</f>
        <v/>
      </c>
      <c r="F68" s="82" t="e">
        <f t="shared" ref="F68:S68" si="79">E68*$E$3</f>
        <v>#VALUE!</v>
      </c>
      <c r="G68" s="82" t="e">
        <f t="shared" si="79"/>
        <v>#VALUE!</v>
      </c>
      <c r="H68" s="82" t="e">
        <f t="shared" si="79"/>
        <v>#VALUE!</v>
      </c>
      <c r="I68" s="82" t="e">
        <f t="shared" si="79"/>
        <v>#VALUE!</v>
      </c>
      <c r="J68" s="82" t="e">
        <f t="shared" si="79"/>
        <v>#VALUE!</v>
      </c>
      <c r="K68" s="82" t="e">
        <f t="shared" si="79"/>
        <v>#VALUE!</v>
      </c>
      <c r="L68" s="82" t="e">
        <f t="shared" si="79"/>
        <v>#VALUE!</v>
      </c>
      <c r="M68" s="82" t="e">
        <f t="shared" si="79"/>
        <v>#VALUE!</v>
      </c>
      <c r="N68" s="82" t="e">
        <f t="shared" si="79"/>
        <v>#VALUE!</v>
      </c>
      <c r="O68" s="82" t="e">
        <f t="shared" si="79"/>
        <v>#VALUE!</v>
      </c>
      <c r="P68" s="82" t="e">
        <f t="shared" si="79"/>
        <v>#VALUE!</v>
      </c>
      <c r="Q68" s="82" t="e">
        <f t="shared" si="79"/>
        <v>#VALUE!</v>
      </c>
      <c r="R68" s="82" t="e">
        <f t="shared" si="79"/>
        <v>#VALUE!</v>
      </c>
      <c r="S68" s="82" t="e">
        <f t="shared" si="79"/>
        <v>#VALUE!</v>
      </c>
      <c r="T68" s="83" t="e">
        <f>IF('Production Data-Table'!H78="",#N/A,'Production Data-Table'!H78)</f>
        <v>#N/A</v>
      </c>
      <c r="U68" s="84" t="e">
        <f t="shared" si="44"/>
        <v>#VALUE!</v>
      </c>
      <c r="V68" s="84" t="e">
        <f t="shared" si="76"/>
        <v>#VALUE!</v>
      </c>
      <c r="W68" s="84" t="e">
        <f t="shared" si="76"/>
        <v>#VALUE!</v>
      </c>
      <c r="X68" s="84" t="e">
        <f t="shared" si="76"/>
        <v>#VALUE!</v>
      </c>
      <c r="Y68" s="84" t="e">
        <f t="shared" si="76"/>
        <v>#VALUE!</v>
      </c>
      <c r="Z68" s="84" t="e">
        <f t="shared" si="76"/>
        <v>#VALUE!</v>
      </c>
      <c r="AA68" s="84" t="e">
        <f t="shared" si="76"/>
        <v>#VALUE!</v>
      </c>
      <c r="AB68" s="84" t="str">
        <f>Standard!G70</f>
        <v/>
      </c>
      <c r="AC68" s="84" t="e">
        <f t="shared" si="77"/>
        <v>#VALUE!</v>
      </c>
      <c r="AD68" s="84" t="e">
        <f t="shared" si="77"/>
        <v>#VALUE!</v>
      </c>
      <c r="AE68" s="84" t="e">
        <f t="shared" si="77"/>
        <v>#VALUE!</v>
      </c>
      <c r="AF68" s="84" t="e">
        <f t="shared" si="77"/>
        <v>#VALUE!</v>
      </c>
      <c r="AG68" s="84" t="e">
        <f t="shared" si="77"/>
        <v>#VALUE!</v>
      </c>
      <c r="AH68" s="84" t="e">
        <f t="shared" si="77"/>
        <v>#VALUE!</v>
      </c>
      <c r="AI68" s="84" t="e">
        <f t="shared" si="77"/>
        <v>#VALUE!</v>
      </c>
      <c r="AJ68" s="84" t="e">
        <f>IF('Production Data-Table'!M78="",#N/A,'Production Data-Table'!M78)</f>
        <v>#N/A</v>
      </c>
      <c r="AK68" s="86" t="e">
        <f t="shared" si="4"/>
        <v>#VALUE!</v>
      </c>
      <c r="AL68" s="86" t="e">
        <f t="shared" si="5"/>
        <v>#N/A</v>
      </c>
      <c r="AM68" s="86" t="str">
        <f>Standard!B70</f>
        <v/>
      </c>
      <c r="AN68" s="87" t="e">
        <f>IF('Production Data-Table'!AH78&lt;&gt;"",'Production Data-Table'!AH78,#N/A)</f>
        <v>#N/A</v>
      </c>
      <c r="AO68" s="97" t="e">
        <f>IF('Production Data-Table'!AC79="",#N/A,'Production Data-Table'!AC77*100)</f>
        <v>#N/A</v>
      </c>
      <c r="AP68" s="97" t="e">
        <f>IF('Production Data-Table'!AE79&lt;&gt;"",'Production Data-Table'!AE77*100,#N/A)</f>
        <v>#N/A</v>
      </c>
      <c r="AQ68" s="97" t="e">
        <f>IF('Production Data-Table'!AG79&lt;&gt;"",'Production Data-Table'!AG77*100,#N/A)</f>
        <v>#N/A</v>
      </c>
      <c r="AR68" s="113" t="e">
        <f>Standard!H70/7</f>
        <v>#VALUE!</v>
      </c>
      <c r="AS68" s="113" t="e">
        <f>IF('Production Data-Table'!O77="",#N/A,'Production Data-Table'!O77/7)</f>
        <v>#N/A</v>
      </c>
      <c r="AT68" s="1" t="e">
        <f>IF('Production Data-Table'!G77&lt;&gt;"",'Production Data-Table'!S77,#N/A)</f>
        <v>#N/A</v>
      </c>
      <c r="AU68" s="1" t="e">
        <f>IF('Production Data-Table'!Z77&lt;&gt;"",'Production Data-Table'!Z77,#N/A)</f>
        <v>#N/A</v>
      </c>
    </row>
    <row r="69" spans="2:47" x14ac:dyDescent="0.2">
      <c r="B69" s="1">
        <v>81</v>
      </c>
      <c r="C69" s="93" t="e">
        <f>100-Standard!E71</f>
        <v>#VALUE!</v>
      </c>
      <c r="D69" s="85" t="e">
        <f>IF('Production Data-Table'!E79="",#N/A,'Production Data-Table'!E79*100)</f>
        <v>#N/A</v>
      </c>
      <c r="E69" s="82" t="str">
        <f>Standard!D71</f>
        <v/>
      </c>
      <c r="F69" s="82" t="e">
        <f t="shared" ref="F69:S69" si="80">E69*$E$3</f>
        <v>#VALUE!</v>
      </c>
      <c r="G69" s="82" t="e">
        <f t="shared" si="80"/>
        <v>#VALUE!</v>
      </c>
      <c r="H69" s="82" t="e">
        <f t="shared" si="80"/>
        <v>#VALUE!</v>
      </c>
      <c r="I69" s="82" t="e">
        <f t="shared" si="80"/>
        <v>#VALUE!</v>
      </c>
      <c r="J69" s="82" t="e">
        <f t="shared" si="80"/>
        <v>#VALUE!</v>
      </c>
      <c r="K69" s="82" t="e">
        <f t="shared" si="80"/>
        <v>#VALUE!</v>
      </c>
      <c r="L69" s="82" t="e">
        <f t="shared" si="80"/>
        <v>#VALUE!</v>
      </c>
      <c r="M69" s="82" t="e">
        <f t="shared" si="80"/>
        <v>#VALUE!</v>
      </c>
      <c r="N69" s="82" t="e">
        <f t="shared" si="80"/>
        <v>#VALUE!</v>
      </c>
      <c r="O69" s="82" t="e">
        <f t="shared" si="80"/>
        <v>#VALUE!</v>
      </c>
      <c r="P69" s="82" t="e">
        <f t="shared" si="80"/>
        <v>#VALUE!</v>
      </c>
      <c r="Q69" s="82" t="e">
        <f t="shared" si="80"/>
        <v>#VALUE!</v>
      </c>
      <c r="R69" s="82" t="e">
        <f t="shared" si="80"/>
        <v>#VALUE!</v>
      </c>
      <c r="S69" s="82" t="e">
        <f t="shared" si="80"/>
        <v>#VALUE!</v>
      </c>
      <c r="T69" s="83" t="e">
        <f>IF('Production Data-Table'!H79="",#N/A,'Production Data-Table'!H79)</f>
        <v>#N/A</v>
      </c>
      <c r="U69" s="84" t="e">
        <f t="shared" si="44"/>
        <v>#VALUE!</v>
      </c>
      <c r="V69" s="84" t="e">
        <f t="shared" si="76"/>
        <v>#VALUE!</v>
      </c>
      <c r="W69" s="84" t="e">
        <f t="shared" si="76"/>
        <v>#VALUE!</v>
      </c>
      <c r="X69" s="84" t="e">
        <f t="shared" si="76"/>
        <v>#VALUE!</v>
      </c>
      <c r="Y69" s="84" t="e">
        <f t="shared" si="76"/>
        <v>#VALUE!</v>
      </c>
      <c r="Z69" s="84" t="e">
        <f t="shared" si="76"/>
        <v>#VALUE!</v>
      </c>
      <c r="AA69" s="84" t="e">
        <f t="shared" si="76"/>
        <v>#VALUE!</v>
      </c>
      <c r="AB69" s="84" t="str">
        <f>Standard!G71</f>
        <v/>
      </c>
      <c r="AC69" s="84" t="e">
        <f t="shared" si="77"/>
        <v>#VALUE!</v>
      </c>
      <c r="AD69" s="84" t="e">
        <f t="shared" si="77"/>
        <v>#VALUE!</v>
      </c>
      <c r="AE69" s="84" t="e">
        <f t="shared" si="77"/>
        <v>#VALUE!</v>
      </c>
      <c r="AF69" s="84" t="e">
        <f t="shared" si="77"/>
        <v>#VALUE!</v>
      </c>
      <c r="AG69" s="84" t="e">
        <f t="shared" si="77"/>
        <v>#VALUE!</v>
      </c>
      <c r="AH69" s="84" t="e">
        <f t="shared" si="77"/>
        <v>#VALUE!</v>
      </c>
      <c r="AI69" s="84" t="e">
        <f t="shared" si="77"/>
        <v>#VALUE!</v>
      </c>
      <c r="AJ69" s="84" t="e">
        <f>IF('Production Data-Table'!M79="",#N/A,'Production Data-Table'!M79)</f>
        <v>#N/A</v>
      </c>
      <c r="AK69" s="86" t="e">
        <f t="shared" si="4"/>
        <v>#VALUE!</v>
      </c>
      <c r="AL69" s="86" t="e">
        <f t="shared" si="5"/>
        <v>#N/A</v>
      </c>
      <c r="AM69" s="86" t="str">
        <f>Standard!B71</f>
        <v/>
      </c>
      <c r="AN69" s="87" t="e">
        <f>IF('Production Data-Table'!AH79&lt;&gt;"",'Production Data-Table'!AH79,#N/A)</f>
        <v>#N/A</v>
      </c>
      <c r="AO69" s="97" t="e">
        <f>IF('Production Data-Table'!AC80="",#N/A,'Production Data-Table'!AC78*100)</f>
        <v>#N/A</v>
      </c>
      <c r="AP69" s="97" t="e">
        <f>IF('Production Data-Table'!AE80&lt;&gt;"",'Production Data-Table'!AE78*100,#N/A)</f>
        <v>#N/A</v>
      </c>
      <c r="AQ69" s="97" t="e">
        <f>IF('Production Data-Table'!AG80&lt;&gt;"",'Production Data-Table'!AG78*100,#N/A)</f>
        <v>#N/A</v>
      </c>
      <c r="AR69" s="113" t="e">
        <f>Standard!H71/7</f>
        <v>#VALUE!</v>
      </c>
      <c r="AS69" s="113" t="e">
        <f>IF('Production Data-Table'!O78="",#N/A,'Production Data-Table'!O78/7)</f>
        <v>#N/A</v>
      </c>
      <c r="AT69" s="1" t="e">
        <f>IF('Production Data-Table'!G78&lt;&gt;"",'Production Data-Table'!S78,#N/A)</f>
        <v>#N/A</v>
      </c>
      <c r="AU69" s="1" t="e">
        <f>IF('Production Data-Table'!Z78&lt;&gt;"",'Production Data-Table'!Z78,#N/A)</f>
        <v>#N/A</v>
      </c>
    </row>
    <row r="70" spans="2:47" x14ac:dyDescent="0.2">
      <c r="B70" s="1">
        <v>82</v>
      </c>
      <c r="C70" s="93" t="e">
        <f>100-Standard!E72</f>
        <v>#VALUE!</v>
      </c>
      <c r="D70" s="85" t="e">
        <f>IF('Production Data-Table'!E80="",#N/A,'Production Data-Table'!E80*100)</f>
        <v>#N/A</v>
      </c>
      <c r="E70" s="82" t="str">
        <f>Standard!D72</f>
        <v/>
      </c>
      <c r="F70" s="82" t="e">
        <f t="shared" ref="F70:S70" si="81">E70*$E$3</f>
        <v>#VALUE!</v>
      </c>
      <c r="G70" s="82" t="e">
        <f t="shared" si="81"/>
        <v>#VALUE!</v>
      </c>
      <c r="H70" s="82" t="e">
        <f t="shared" si="81"/>
        <v>#VALUE!</v>
      </c>
      <c r="I70" s="82" t="e">
        <f t="shared" si="81"/>
        <v>#VALUE!</v>
      </c>
      <c r="J70" s="82" t="e">
        <f t="shared" si="81"/>
        <v>#VALUE!</v>
      </c>
      <c r="K70" s="82" t="e">
        <f t="shared" si="81"/>
        <v>#VALUE!</v>
      </c>
      <c r="L70" s="82" t="e">
        <f t="shared" si="81"/>
        <v>#VALUE!</v>
      </c>
      <c r="M70" s="82" t="e">
        <f t="shared" si="81"/>
        <v>#VALUE!</v>
      </c>
      <c r="N70" s="82" t="e">
        <f t="shared" si="81"/>
        <v>#VALUE!</v>
      </c>
      <c r="O70" s="82" t="e">
        <f t="shared" si="81"/>
        <v>#VALUE!</v>
      </c>
      <c r="P70" s="82" t="e">
        <f t="shared" si="81"/>
        <v>#VALUE!</v>
      </c>
      <c r="Q70" s="82" t="e">
        <f t="shared" si="81"/>
        <v>#VALUE!</v>
      </c>
      <c r="R70" s="82" t="e">
        <f t="shared" si="81"/>
        <v>#VALUE!</v>
      </c>
      <c r="S70" s="82" t="e">
        <f t="shared" si="81"/>
        <v>#VALUE!</v>
      </c>
      <c r="T70" s="83" t="e">
        <f>IF('Production Data-Table'!H80="",#N/A,'Production Data-Table'!H80)</f>
        <v>#N/A</v>
      </c>
      <c r="U70" s="84" t="e">
        <f t="shared" si="44"/>
        <v>#VALUE!</v>
      </c>
      <c r="V70" s="84" t="e">
        <f t="shared" si="76"/>
        <v>#VALUE!</v>
      </c>
      <c r="W70" s="84" t="e">
        <f t="shared" si="76"/>
        <v>#VALUE!</v>
      </c>
      <c r="X70" s="84" t="e">
        <f t="shared" si="76"/>
        <v>#VALUE!</v>
      </c>
      <c r="Y70" s="84" t="e">
        <f t="shared" si="76"/>
        <v>#VALUE!</v>
      </c>
      <c r="Z70" s="84" t="e">
        <f t="shared" si="76"/>
        <v>#VALUE!</v>
      </c>
      <c r="AA70" s="84" t="e">
        <f t="shared" si="76"/>
        <v>#VALUE!</v>
      </c>
      <c r="AB70" s="84" t="str">
        <f>Standard!G72</f>
        <v/>
      </c>
      <c r="AC70" s="84" t="e">
        <f t="shared" si="77"/>
        <v>#VALUE!</v>
      </c>
      <c r="AD70" s="84" t="e">
        <f t="shared" si="77"/>
        <v>#VALUE!</v>
      </c>
      <c r="AE70" s="84" t="e">
        <f t="shared" si="77"/>
        <v>#VALUE!</v>
      </c>
      <c r="AF70" s="84" t="e">
        <f t="shared" si="77"/>
        <v>#VALUE!</v>
      </c>
      <c r="AG70" s="84" t="e">
        <f t="shared" si="77"/>
        <v>#VALUE!</v>
      </c>
      <c r="AH70" s="84" t="e">
        <f t="shared" si="77"/>
        <v>#VALUE!</v>
      </c>
      <c r="AI70" s="84" t="e">
        <f t="shared" si="77"/>
        <v>#VALUE!</v>
      </c>
      <c r="AJ70" s="84" t="e">
        <f>IF('Production Data-Table'!M80="",#N/A,'Production Data-Table'!M80)</f>
        <v>#N/A</v>
      </c>
      <c r="AK70" s="86" t="e">
        <f t="shared" si="4"/>
        <v>#VALUE!</v>
      </c>
      <c r="AL70" s="86" t="e">
        <f t="shared" si="5"/>
        <v>#N/A</v>
      </c>
      <c r="AM70" s="86" t="str">
        <f>Standard!B72</f>
        <v/>
      </c>
      <c r="AN70" s="87" t="e">
        <f>IF('Production Data-Table'!AH80&lt;&gt;"",'Production Data-Table'!AH80,#N/A)</f>
        <v>#N/A</v>
      </c>
      <c r="AO70" s="97" t="e">
        <f>IF('Production Data-Table'!AC81="",#N/A,'Production Data-Table'!AC79*100)</f>
        <v>#N/A</v>
      </c>
      <c r="AP70" s="97" t="e">
        <f>IF('Production Data-Table'!AE81&lt;&gt;"",'Production Data-Table'!AE79*100,#N/A)</f>
        <v>#N/A</v>
      </c>
      <c r="AQ70" s="97" t="e">
        <f>IF('Production Data-Table'!AG81&lt;&gt;"",'Production Data-Table'!AG79*100,#N/A)</f>
        <v>#N/A</v>
      </c>
      <c r="AR70" s="113" t="e">
        <f>Standard!H72/7</f>
        <v>#VALUE!</v>
      </c>
      <c r="AS70" s="113" t="e">
        <f>IF('Production Data-Table'!O79="",#N/A,'Production Data-Table'!O79/7)</f>
        <v>#N/A</v>
      </c>
      <c r="AT70" s="1" t="e">
        <f>IF('Production Data-Table'!G79&lt;&gt;"",'Production Data-Table'!S79,#N/A)</f>
        <v>#N/A</v>
      </c>
      <c r="AU70" s="1" t="e">
        <f>IF('Production Data-Table'!Z79&lt;&gt;"",'Production Data-Table'!Z79,#N/A)</f>
        <v>#N/A</v>
      </c>
    </row>
    <row r="71" spans="2:47" x14ac:dyDescent="0.2">
      <c r="B71" s="1">
        <v>83</v>
      </c>
      <c r="C71" s="93" t="e">
        <f>100-Standard!E73</f>
        <v>#VALUE!</v>
      </c>
      <c r="D71" s="85" t="e">
        <f>IF('Production Data-Table'!E81="",#N/A,'Production Data-Table'!E81*100)</f>
        <v>#N/A</v>
      </c>
      <c r="E71" s="82" t="str">
        <f>Standard!D73</f>
        <v/>
      </c>
      <c r="F71" s="82" t="e">
        <f t="shared" ref="F71:S71" si="82">E71*$E$3</f>
        <v>#VALUE!</v>
      </c>
      <c r="G71" s="82" t="e">
        <f t="shared" si="82"/>
        <v>#VALUE!</v>
      </c>
      <c r="H71" s="82" t="e">
        <f t="shared" si="82"/>
        <v>#VALUE!</v>
      </c>
      <c r="I71" s="82" t="e">
        <f t="shared" si="82"/>
        <v>#VALUE!</v>
      </c>
      <c r="J71" s="82" t="e">
        <f t="shared" si="82"/>
        <v>#VALUE!</v>
      </c>
      <c r="K71" s="82" t="e">
        <f t="shared" si="82"/>
        <v>#VALUE!</v>
      </c>
      <c r="L71" s="82" t="e">
        <f t="shared" si="82"/>
        <v>#VALUE!</v>
      </c>
      <c r="M71" s="82" t="e">
        <f t="shared" si="82"/>
        <v>#VALUE!</v>
      </c>
      <c r="N71" s="82" t="e">
        <f t="shared" si="82"/>
        <v>#VALUE!</v>
      </c>
      <c r="O71" s="82" t="e">
        <f t="shared" si="82"/>
        <v>#VALUE!</v>
      </c>
      <c r="P71" s="82" t="e">
        <f t="shared" si="82"/>
        <v>#VALUE!</v>
      </c>
      <c r="Q71" s="82" t="e">
        <f t="shared" si="82"/>
        <v>#VALUE!</v>
      </c>
      <c r="R71" s="82" t="e">
        <f t="shared" si="82"/>
        <v>#VALUE!</v>
      </c>
      <c r="S71" s="82" t="e">
        <f t="shared" si="82"/>
        <v>#VALUE!</v>
      </c>
      <c r="T71" s="83" t="e">
        <f>IF('Production Data-Table'!H81="",#N/A,'Production Data-Table'!H81)</f>
        <v>#N/A</v>
      </c>
      <c r="U71" s="84" t="e">
        <f t="shared" ref="U71:U78" si="83">V71*$V$3</f>
        <v>#VALUE!</v>
      </c>
      <c r="V71" s="84" t="e">
        <f t="shared" si="76"/>
        <v>#VALUE!</v>
      </c>
      <c r="W71" s="84" t="e">
        <f t="shared" si="76"/>
        <v>#VALUE!</v>
      </c>
      <c r="X71" s="84" t="e">
        <f t="shared" si="76"/>
        <v>#VALUE!</v>
      </c>
      <c r="Y71" s="84" t="e">
        <f t="shared" si="76"/>
        <v>#VALUE!</v>
      </c>
      <c r="Z71" s="84" t="e">
        <f t="shared" si="76"/>
        <v>#VALUE!</v>
      </c>
      <c r="AA71" s="84" t="e">
        <f t="shared" si="76"/>
        <v>#VALUE!</v>
      </c>
      <c r="AB71" s="84" t="str">
        <f>Standard!G73</f>
        <v/>
      </c>
      <c r="AC71" s="84" t="e">
        <f t="shared" si="77"/>
        <v>#VALUE!</v>
      </c>
      <c r="AD71" s="84" t="e">
        <f t="shared" si="77"/>
        <v>#VALUE!</v>
      </c>
      <c r="AE71" s="84" t="e">
        <f t="shared" si="77"/>
        <v>#VALUE!</v>
      </c>
      <c r="AF71" s="84" t="e">
        <f t="shared" si="77"/>
        <v>#VALUE!</v>
      </c>
      <c r="AG71" s="84" t="e">
        <f t="shared" si="77"/>
        <v>#VALUE!</v>
      </c>
      <c r="AH71" s="84" t="e">
        <f t="shared" si="77"/>
        <v>#VALUE!</v>
      </c>
      <c r="AI71" s="84" t="e">
        <f t="shared" si="77"/>
        <v>#VALUE!</v>
      </c>
      <c r="AJ71" s="84" t="e">
        <f>IF('Production Data-Table'!M81="",#N/A,'Production Data-Table'!M81)</f>
        <v>#N/A</v>
      </c>
      <c r="AK71" s="86" t="e">
        <f t="shared" ref="AK71:AK78" si="84">(AM71-1300)/$AK$3*$AL$3</f>
        <v>#VALUE!</v>
      </c>
      <c r="AL71" s="86" t="e">
        <f t="shared" ref="AL71:AL78" si="85">(AN71-1300)/$AK$3*$AL$3</f>
        <v>#N/A</v>
      </c>
      <c r="AM71" s="86" t="str">
        <f>Standard!B73</f>
        <v/>
      </c>
      <c r="AN71" s="87" t="e">
        <f>IF('Production Data-Table'!AH81&lt;&gt;"",'Production Data-Table'!AH81,#N/A)</f>
        <v>#N/A</v>
      </c>
      <c r="AO71" s="97" t="e">
        <f>IF('Production Data-Table'!AC82="",#N/A,'Production Data-Table'!AC80*100)</f>
        <v>#N/A</v>
      </c>
      <c r="AP71" s="97" t="e">
        <f>IF('Production Data-Table'!AE82&lt;&gt;"",'Production Data-Table'!AE80*100,#N/A)</f>
        <v>#N/A</v>
      </c>
      <c r="AQ71" s="97" t="e">
        <f>IF('Production Data-Table'!AG82&lt;&gt;"",'Production Data-Table'!AG80*100,#N/A)</f>
        <v>#N/A</v>
      </c>
      <c r="AR71" s="113" t="e">
        <f>Standard!H73/7</f>
        <v>#VALUE!</v>
      </c>
      <c r="AS71" s="113" t="e">
        <f>IF('Production Data-Table'!O80="",#N/A,'Production Data-Table'!O80/7)</f>
        <v>#N/A</v>
      </c>
      <c r="AT71" s="1" t="e">
        <f>IF('Production Data-Table'!G80&lt;&gt;"",'Production Data-Table'!S80,#N/A)</f>
        <v>#N/A</v>
      </c>
      <c r="AU71" s="1" t="e">
        <f>IF('Production Data-Table'!Z80&lt;&gt;"",'Production Data-Table'!Z80,#N/A)</f>
        <v>#N/A</v>
      </c>
    </row>
    <row r="72" spans="2:47" x14ac:dyDescent="0.2">
      <c r="B72" s="1">
        <v>84</v>
      </c>
      <c r="C72" s="93" t="e">
        <f>100-Standard!E74</f>
        <v>#VALUE!</v>
      </c>
      <c r="D72" s="85" t="e">
        <f>IF('Production Data-Table'!E82="",#N/A,'Production Data-Table'!E82*100)</f>
        <v>#N/A</v>
      </c>
      <c r="E72" s="82" t="str">
        <f>Standard!D74</f>
        <v/>
      </c>
      <c r="F72" s="82" t="e">
        <f t="shared" ref="F72:S72" si="86">E72*$E$3</f>
        <v>#VALUE!</v>
      </c>
      <c r="G72" s="82" t="e">
        <f t="shared" si="86"/>
        <v>#VALUE!</v>
      </c>
      <c r="H72" s="82" t="e">
        <f t="shared" si="86"/>
        <v>#VALUE!</v>
      </c>
      <c r="I72" s="82" t="e">
        <f t="shared" si="86"/>
        <v>#VALUE!</v>
      </c>
      <c r="J72" s="82" t="e">
        <f t="shared" si="86"/>
        <v>#VALUE!</v>
      </c>
      <c r="K72" s="82" t="e">
        <f t="shared" si="86"/>
        <v>#VALUE!</v>
      </c>
      <c r="L72" s="82" t="e">
        <f t="shared" si="86"/>
        <v>#VALUE!</v>
      </c>
      <c r="M72" s="82" t="e">
        <f t="shared" si="86"/>
        <v>#VALUE!</v>
      </c>
      <c r="N72" s="82" t="e">
        <f t="shared" si="86"/>
        <v>#VALUE!</v>
      </c>
      <c r="O72" s="82" t="e">
        <f t="shared" si="86"/>
        <v>#VALUE!</v>
      </c>
      <c r="P72" s="82" t="e">
        <f t="shared" si="86"/>
        <v>#VALUE!</v>
      </c>
      <c r="Q72" s="82" t="e">
        <f t="shared" si="86"/>
        <v>#VALUE!</v>
      </c>
      <c r="R72" s="82" t="e">
        <f t="shared" si="86"/>
        <v>#VALUE!</v>
      </c>
      <c r="S72" s="82" t="e">
        <f t="shared" si="86"/>
        <v>#VALUE!</v>
      </c>
      <c r="T72" s="83" t="e">
        <f>IF('Production Data-Table'!H82="",#N/A,'Production Data-Table'!H82)</f>
        <v>#N/A</v>
      </c>
      <c r="U72" s="84" t="e">
        <f t="shared" si="83"/>
        <v>#VALUE!</v>
      </c>
      <c r="V72" s="84" t="e">
        <f t="shared" si="76"/>
        <v>#VALUE!</v>
      </c>
      <c r="W72" s="84" t="e">
        <f t="shared" si="76"/>
        <v>#VALUE!</v>
      </c>
      <c r="X72" s="84" t="e">
        <f t="shared" si="76"/>
        <v>#VALUE!</v>
      </c>
      <c r="Y72" s="84" t="e">
        <f t="shared" si="76"/>
        <v>#VALUE!</v>
      </c>
      <c r="Z72" s="84" t="e">
        <f t="shared" si="76"/>
        <v>#VALUE!</v>
      </c>
      <c r="AA72" s="84" t="e">
        <f t="shared" si="76"/>
        <v>#VALUE!</v>
      </c>
      <c r="AB72" s="84" t="str">
        <f>Standard!G74</f>
        <v/>
      </c>
      <c r="AC72" s="84" t="e">
        <f t="shared" si="77"/>
        <v>#VALUE!</v>
      </c>
      <c r="AD72" s="84" t="e">
        <f t="shared" si="77"/>
        <v>#VALUE!</v>
      </c>
      <c r="AE72" s="84" t="e">
        <f t="shared" si="77"/>
        <v>#VALUE!</v>
      </c>
      <c r="AF72" s="84" t="e">
        <f t="shared" si="77"/>
        <v>#VALUE!</v>
      </c>
      <c r="AG72" s="84" t="e">
        <f t="shared" si="77"/>
        <v>#VALUE!</v>
      </c>
      <c r="AH72" s="84" t="e">
        <f t="shared" si="77"/>
        <v>#VALUE!</v>
      </c>
      <c r="AI72" s="84" t="e">
        <f t="shared" si="77"/>
        <v>#VALUE!</v>
      </c>
      <c r="AJ72" s="84" t="e">
        <f>IF('Production Data-Table'!M82="",#N/A,'Production Data-Table'!M82)</f>
        <v>#N/A</v>
      </c>
      <c r="AK72" s="86" t="e">
        <f t="shared" si="84"/>
        <v>#VALUE!</v>
      </c>
      <c r="AL72" s="86" t="e">
        <f t="shared" si="85"/>
        <v>#N/A</v>
      </c>
      <c r="AM72" s="86" t="str">
        <f>Standard!B74</f>
        <v/>
      </c>
      <c r="AN72" s="87" t="e">
        <f>IF('Production Data-Table'!AH82&lt;&gt;"",'Production Data-Table'!AH82,#N/A)</f>
        <v>#N/A</v>
      </c>
      <c r="AO72" s="97" t="e">
        <f>IF('Production Data-Table'!AC83="",#N/A,'Production Data-Table'!AC81*100)</f>
        <v>#N/A</v>
      </c>
      <c r="AP72" s="97" t="e">
        <f>IF('Production Data-Table'!AE83&lt;&gt;"",'Production Data-Table'!AE81*100,#N/A)</f>
        <v>#N/A</v>
      </c>
      <c r="AQ72" s="97" t="e">
        <f>IF('Production Data-Table'!AG83&lt;&gt;"",'Production Data-Table'!AG81*100,#N/A)</f>
        <v>#N/A</v>
      </c>
      <c r="AR72" s="113" t="e">
        <f>Standard!H74/7</f>
        <v>#VALUE!</v>
      </c>
      <c r="AS72" s="113" t="e">
        <f>IF('Production Data-Table'!O81="",#N/A,'Production Data-Table'!O81/7)</f>
        <v>#N/A</v>
      </c>
      <c r="AT72" s="1" t="e">
        <f>IF('Production Data-Table'!G81&lt;&gt;"",'Production Data-Table'!S81,#N/A)</f>
        <v>#N/A</v>
      </c>
      <c r="AU72" s="1" t="e">
        <f>IF('Production Data-Table'!Z81&lt;&gt;"",'Production Data-Table'!Z81,#N/A)</f>
        <v>#N/A</v>
      </c>
    </row>
    <row r="73" spans="2:47" x14ac:dyDescent="0.2">
      <c r="B73" s="1">
        <v>85</v>
      </c>
      <c r="C73" s="93" t="e">
        <f>100-Standard!E75</f>
        <v>#VALUE!</v>
      </c>
      <c r="D73" s="85" t="e">
        <f>IF('Production Data-Table'!E83="",#N/A,'Production Data-Table'!E83*100)</f>
        <v>#N/A</v>
      </c>
      <c r="E73" s="82" t="str">
        <f>Standard!D75</f>
        <v/>
      </c>
      <c r="F73" s="82" t="e">
        <f t="shared" ref="F73:S73" si="87">E73*$E$3</f>
        <v>#VALUE!</v>
      </c>
      <c r="G73" s="82" t="e">
        <f t="shared" si="87"/>
        <v>#VALUE!</v>
      </c>
      <c r="H73" s="82" t="e">
        <f t="shared" si="87"/>
        <v>#VALUE!</v>
      </c>
      <c r="I73" s="82" t="e">
        <f t="shared" si="87"/>
        <v>#VALUE!</v>
      </c>
      <c r="J73" s="82" t="e">
        <f t="shared" si="87"/>
        <v>#VALUE!</v>
      </c>
      <c r="K73" s="82" t="e">
        <f t="shared" si="87"/>
        <v>#VALUE!</v>
      </c>
      <c r="L73" s="82" t="e">
        <f t="shared" si="87"/>
        <v>#VALUE!</v>
      </c>
      <c r="M73" s="82" t="e">
        <f t="shared" si="87"/>
        <v>#VALUE!</v>
      </c>
      <c r="N73" s="82" t="e">
        <f t="shared" si="87"/>
        <v>#VALUE!</v>
      </c>
      <c r="O73" s="82" t="e">
        <f t="shared" si="87"/>
        <v>#VALUE!</v>
      </c>
      <c r="P73" s="82" t="e">
        <f t="shared" si="87"/>
        <v>#VALUE!</v>
      </c>
      <c r="Q73" s="82" t="e">
        <f t="shared" si="87"/>
        <v>#VALUE!</v>
      </c>
      <c r="R73" s="82" t="e">
        <f t="shared" si="87"/>
        <v>#VALUE!</v>
      </c>
      <c r="S73" s="82" t="e">
        <f t="shared" si="87"/>
        <v>#VALUE!</v>
      </c>
      <c r="T73" s="83" t="e">
        <f>IF('Production Data-Table'!H83="",#N/A,'Production Data-Table'!H83)</f>
        <v>#N/A</v>
      </c>
      <c r="U73" s="84" t="e">
        <f t="shared" si="83"/>
        <v>#VALUE!</v>
      </c>
      <c r="V73" s="84" t="e">
        <f t="shared" si="76"/>
        <v>#VALUE!</v>
      </c>
      <c r="W73" s="84" t="e">
        <f t="shared" si="76"/>
        <v>#VALUE!</v>
      </c>
      <c r="X73" s="84" t="e">
        <f t="shared" si="76"/>
        <v>#VALUE!</v>
      </c>
      <c r="Y73" s="84" t="e">
        <f t="shared" si="76"/>
        <v>#VALUE!</v>
      </c>
      <c r="Z73" s="84" t="e">
        <f t="shared" si="76"/>
        <v>#VALUE!</v>
      </c>
      <c r="AA73" s="84" t="e">
        <f t="shared" si="76"/>
        <v>#VALUE!</v>
      </c>
      <c r="AB73" s="84" t="str">
        <f>Standard!G75</f>
        <v/>
      </c>
      <c r="AC73" s="84" t="e">
        <f t="shared" si="77"/>
        <v>#VALUE!</v>
      </c>
      <c r="AD73" s="84" t="e">
        <f t="shared" si="77"/>
        <v>#VALUE!</v>
      </c>
      <c r="AE73" s="84" t="e">
        <f t="shared" si="77"/>
        <v>#VALUE!</v>
      </c>
      <c r="AF73" s="84" t="e">
        <f t="shared" si="77"/>
        <v>#VALUE!</v>
      </c>
      <c r="AG73" s="84" t="e">
        <f t="shared" si="77"/>
        <v>#VALUE!</v>
      </c>
      <c r="AH73" s="84" t="e">
        <f t="shared" si="77"/>
        <v>#VALUE!</v>
      </c>
      <c r="AI73" s="84" t="e">
        <f t="shared" si="77"/>
        <v>#VALUE!</v>
      </c>
      <c r="AJ73" s="84" t="e">
        <f>IF('Production Data-Table'!M83="",#N/A,'Production Data-Table'!M83)</f>
        <v>#N/A</v>
      </c>
      <c r="AK73" s="86" t="e">
        <f t="shared" si="84"/>
        <v>#VALUE!</v>
      </c>
      <c r="AL73" s="86" t="e">
        <f t="shared" si="85"/>
        <v>#N/A</v>
      </c>
      <c r="AM73" s="86" t="str">
        <f>Standard!B75</f>
        <v/>
      </c>
      <c r="AN73" s="87" t="e">
        <f>IF('Production Data-Table'!AH83&lt;&gt;"",'Production Data-Table'!AH83,#N/A)</f>
        <v>#N/A</v>
      </c>
      <c r="AO73" s="97" t="e">
        <f>IF('Production Data-Table'!AC84="",#N/A,'Production Data-Table'!AC82*100)</f>
        <v>#N/A</v>
      </c>
      <c r="AP73" s="97" t="e">
        <f>IF('Production Data-Table'!AE84&lt;&gt;"",'Production Data-Table'!AE82*100,#N/A)</f>
        <v>#N/A</v>
      </c>
      <c r="AQ73" s="97" t="e">
        <f>IF('Production Data-Table'!AG84&lt;&gt;"",'Production Data-Table'!AG82*100,#N/A)</f>
        <v>#N/A</v>
      </c>
      <c r="AR73" s="113" t="e">
        <f>Standard!H75/7</f>
        <v>#VALUE!</v>
      </c>
      <c r="AS73" s="113" t="e">
        <f>IF('Production Data-Table'!O82="",#N/A,'Production Data-Table'!O82/7)</f>
        <v>#N/A</v>
      </c>
      <c r="AT73" s="1" t="e">
        <f>IF('Production Data-Table'!G82&lt;&gt;"",'Production Data-Table'!S82,#N/A)</f>
        <v>#N/A</v>
      </c>
      <c r="AU73" s="1" t="e">
        <f>IF('Production Data-Table'!Z82&lt;&gt;"",'Production Data-Table'!Z82,#N/A)</f>
        <v>#N/A</v>
      </c>
    </row>
    <row r="74" spans="2:47" x14ac:dyDescent="0.2">
      <c r="B74" s="1">
        <v>86</v>
      </c>
      <c r="C74" s="93" t="e">
        <f>100-Standard!E76</f>
        <v>#VALUE!</v>
      </c>
      <c r="D74" s="85" t="e">
        <f>IF('Production Data-Table'!E84="",#N/A,'Production Data-Table'!E84*100)</f>
        <v>#N/A</v>
      </c>
      <c r="E74" s="82" t="str">
        <f>Standard!D76</f>
        <v/>
      </c>
      <c r="F74" s="82" t="e">
        <f t="shared" ref="F74:S74" si="88">E74*$E$3</f>
        <v>#VALUE!</v>
      </c>
      <c r="G74" s="82" t="e">
        <f t="shared" si="88"/>
        <v>#VALUE!</v>
      </c>
      <c r="H74" s="82" t="e">
        <f t="shared" si="88"/>
        <v>#VALUE!</v>
      </c>
      <c r="I74" s="82" t="e">
        <f t="shared" si="88"/>
        <v>#VALUE!</v>
      </c>
      <c r="J74" s="82" t="e">
        <f t="shared" si="88"/>
        <v>#VALUE!</v>
      </c>
      <c r="K74" s="82" t="e">
        <f t="shared" si="88"/>
        <v>#VALUE!</v>
      </c>
      <c r="L74" s="82" t="e">
        <f t="shared" si="88"/>
        <v>#VALUE!</v>
      </c>
      <c r="M74" s="82" t="e">
        <f t="shared" si="88"/>
        <v>#VALUE!</v>
      </c>
      <c r="N74" s="82" t="e">
        <f t="shared" si="88"/>
        <v>#VALUE!</v>
      </c>
      <c r="O74" s="82" t="e">
        <f t="shared" si="88"/>
        <v>#VALUE!</v>
      </c>
      <c r="P74" s="82" t="e">
        <f t="shared" si="88"/>
        <v>#VALUE!</v>
      </c>
      <c r="Q74" s="82" t="e">
        <f t="shared" si="88"/>
        <v>#VALUE!</v>
      </c>
      <c r="R74" s="82" t="e">
        <f t="shared" si="88"/>
        <v>#VALUE!</v>
      </c>
      <c r="S74" s="82" t="e">
        <f t="shared" si="88"/>
        <v>#VALUE!</v>
      </c>
      <c r="T74" s="83" t="e">
        <f>IF('Production Data-Table'!H84="",#N/A,'Production Data-Table'!H84)</f>
        <v>#N/A</v>
      </c>
      <c r="U74" s="84" t="e">
        <f t="shared" si="83"/>
        <v>#VALUE!</v>
      </c>
      <c r="V74" s="84" t="e">
        <f t="shared" si="76"/>
        <v>#VALUE!</v>
      </c>
      <c r="W74" s="84" t="e">
        <f t="shared" si="76"/>
        <v>#VALUE!</v>
      </c>
      <c r="X74" s="84" t="e">
        <f t="shared" si="76"/>
        <v>#VALUE!</v>
      </c>
      <c r="Y74" s="84" t="e">
        <f t="shared" si="76"/>
        <v>#VALUE!</v>
      </c>
      <c r="Z74" s="84" t="e">
        <f t="shared" si="76"/>
        <v>#VALUE!</v>
      </c>
      <c r="AA74" s="84" t="e">
        <f t="shared" si="76"/>
        <v>#VALUE!</v>
      </c>
      <c r="AB74" s="84" t="str">
        <f>Standard!G76</f>
        <v/>
      </c>
      <c r="AC74" s="84" t="e">
        <f t="shared" si="77"/>
        <v>#VALUE!</v>
      </c>
      <c r="AD74" s="84" t="e">
        <f t="shared" si="77"/>
        <v>#VALUE!</v>
      </c>
      <c r="AE74" s="84" t="e">
        <f t="shared" si="77"/>
        <v>#VALUE!</v>
      </c>
      <c r="AF74" s="84" t="e">
        <f t="shared" si="77"/>
        <v>#VALUE!</v>
      </c>
      <c r="AG74" s="84" t="e">
        <f t="shared" si="77"/>
        <v>#VALUE!</v>
      </c>
      <c r="AH74" s="84" t="e">
        <f t="shared" si="77"/>
        <v>#VALUE!</v>
      </c>
      <c r="AI74" s="84" t="e">
        <f t="shared" si="77"/>
        <v>#VALUE!</v>
      </c>
      <c r="AJ74" s="84" t="e">
        <f>IF('Production Data-Table'!M84="",#N/A,'Production Data-Table'!M84)</f>
        <v>#N/A</v>
      </c>
      <c r="AK74" s="86" t="e">
        <f t="shared" si="84"/>
        <v>#VALUE!</v>
      </c>
      <c r="AL74" s="86" t="e">
        <f t="shared" si="85"/>
        <v>#N/A</v>
      </c>
      <c r="AM74" s="86" t="str">
        <f>Standard!B76</f>
        <v/>
      </c>
      <c r="AN74" s="87" t="e">
        <f>IF('Production Data-Table'!AH84&lt;&gt;"",'Production Data-Table'!AH84,#N/A)</f>
        <v>#N/A</v>
      </c>
      <c r="AO74" s="97" t="e">
        <f>IF('Production Data-Table'!AC85="",#N/A,'Production Data-Table'!AC83*100)</f>
        <v>#N/A</v>
      </c>
      <c r="AP74" s="97" t="e">
        <f>IF('Production Data-Table'!AE85&lt;&gt;"",'Production Data-Table'!AE83*100,#N/A)</f>
        <v>#N/A</v>
      </c>
      <c r="AQ74" s="97" t="e">
        <f>IF('Production Data-Table'!AG85&lt;&gt;"",'Production Data-Table'!AG83*100,#N/A)</f>
        <v>#N/A</v>
      </c>
      <c r="AR74" s="113" t="e">
        <f>Standard!H76/7</f>
        <v>#VALUE!</v>
      </c>
      <c r="AS74" s="113" t="e">
        <f>IF('Production Data-Table'!O83="",#N/A,'Production Data-Table'!O83/7)</f>
        <v>#N/A</v>
      </c>
      <c r="AT74" s="1" t="e">
        <f>IF('Production Data-Table'!G83&lt;&gt;"",'Production Data-Table'!S83,#N/A)</f>
        <v>#N/A</v>
      </c>
      <c r="AU74" s="1" t="e">
        <f>IF('Production Data-Table'!Z83&lt;&gt;"",'Production Data-Table'!Z83,#N/A)</f>
        <v>#N/A</v>
      </c>
    </row>
    <row r="75" spans="2:47" x14ac:dyDescent="0.2">
      <c r="B75" s="1">
        <v>87</v>
      </c>
      <c r="C75" s="93" t="e">
        <f>100-Standard!E77</f>
        <v>#VALUE!</v>
      </c>
      <c r="D75" s="85" t="e">
        <f>IF('Production Data-Table'!E85="",#N/A,'Production Data-Table'!E85*100)</f>
        <v>#N/A</v>
      </c>
      <c r="E75" s="82" t="str">
        <f>Standard!D77</f>
        <v/>
      </c>
      <c r="F75" s="82" t="e">
        <f t="shared" ref="F75:S75" si="89">E75*$E$3</f>
        <v>#VALUE!</v>
      </c>
      <c r="G75" s="82" t="e">
        <f t="shared" si="89"/>
        <v>#VALUE!</v>
      </c>
      <c r="H75" s="82" t="e">
        <f t="shared" si="89"/>
        <v>#VALUE!</v>
      </c>
      <c r="I75" s="82" t="e">
        <f t="shared" si="89"/>
        <v>#VALUE!</v>
      </c>
      <c r="J75" s="82" t="e">
        <f t="shared" si="89"/>
        <v>#VALUE!</v>
      </c>
      <c r="K75" s="82" t="e">
        <f t="shared" si="89"/>
        <v>#VALUE!</v>
      </c>
      <c r="L75" s="82" t="e">
        <f t="shared" si="89"/>
        <v>#VALUE!</v>
      </c>
      <c r="M75" s="82" t="e">
        <f t="shared" si="89"/>
        <v>#VALUE!</v>
      </c>
      <c r="N75" s="82" t="e">
        <f t="shared" si="89"/>
        <v>#VALUE!</v>
      </c>
      <c r="O75" s="82" t="e">
        <f t="shared" si="89"/>
        <v>#VALUE!</v>
      </c>
      <c r="P75" s="82" t="e">
        <f t="shared" si="89"/>
        <v>#VALUE!</v>
      </c>
      <c r="Q75" s="82" t="e">
        <f t="shared" si="89"/>
        <v>#VALUE!</v>
      </c>
      <c r="R75" s="82" t="e">
        <f t="shared" si="89"/>
        <v>#VALUE!</v>
      </c>
      <c r="S75" s="82" t="e">
        <f t="shared" si="89"/>
        <v>#VALUE!</v>
      </c>
      <c r="T75" s="83" t="e">
        <f>IF('Production Data-Table'!H85="",#N/A,'Production Data-Table'!H85)</f>
        <v>#N/A</v>
      </c>
      <c r="U75" s="84" t="e">
        <f t="shared" si="83"/>
        <v>#VALUE!</v>
      </c>
      <c r="V75" s="84" t="e">
        <f t="shared" si="76"/>
        <v>#VALUE!</v>
      </c>
      <c r="W75" s="84" t="e">
        <f t="shared" si="76"/>
        <v>#VALUE!</v>
      </c>
      <c r="X75" s="84" t="e">
        <f t="shared" si="76"/>
        <v>#VALUE!</v>
      </c>
      <c r="Y75" s="84" t="e">
        <f t="shared" si="76"/>
        <v>#VALUE!</v>
      </c>
      <c r="Z75" s="84" t="e">
        <f t="shared" si="76"/>
        <v>#VALUE!</v>
      </c>
      <c r="AA75" s="84" t="e">
        <f t="shared" si="76"/>
        <v>#VALUE!</v>
      </c>
      <c r="AB75" s="84" t="str">
        <f>Standard!G77</f>
        <v/>
      </c>
      <c r="AC75" s="84" t="e">
        <f t="shared" si="77"/>
        <v>#VALUE!</v>
      </c>
      <c r="AD75" s="84" t="e">
        <f t="shared" si="77"/>
        <v>#VALUE!</v>
      </c>
      <c r="AE75" s="84" t="e">
        <f t="shared" si="77"/>
        <v>#VALUE!</v>
      </c>
      <c r="AF75" s="84" t="e">
        <f t="shared" si="77"/>
        <v>#VALUE!</v>
      </c>
      <c r="AG75" s="84" t="e">
        <f t="shared" si="77"/>
        <v>#VALUE!</v>
      </c>
      <c r="AH75" s="84" t="e">
        <f t="shared" si="77"/>
        <v>#VALUE!</v>
      </c>
      <c r="AI75" s="84" t="e">
        <f t="shared" si="77"/>
        <v>#VALUE!</v>
      </c>
      <c r="AJ75" s="84" t="e">
        <f>IF('Production Data-Table'!M85="",#N/A,'Production Data-Table'!M85)</f>
        <v>#N/A</v>
      </c>
      <c r="AK75" s="86" t="e">
        <f t="shared" si="84"/>
        <v>#VALUE!</v>
      </c>
      <c r="AL75" s="86" t="e">
        <f t="shared" si="85"/>
        <v>#N/A</v>
      </c>
      <c r="AM75" s="86" t="str">
        <f>Standard!B77</f>
        <v/>
      </c>
      <c r="AN75" s="87" t="e">
        <f>IF('Production Data-Table'!AH85&lt;&gt;"",'Production Data-Table'!AH85,#N/A)</f>
        <v>#N/A</v>
      </c>
      <c r="AO75" s="97" t="e">
        <f>IF('Production Data-Table'!AC86="",#N/A,'Production Data-Table'!AC84*100)</f>
        <v>#N/A</v>
      </c>
      <c r="AP75" s="97" t="e">
        <f>IF('Production Data-Table'!AE86&lt;&gt;"",'Production Data-Table'!AE84*100,#N/A)</f>
        <v>#N/A</v>
      </c>
      <c r="AQ75" s="97" t="e">
        <f>IF('Production Data-Table'!AG86&lt;&gt;"",'Production Data-Table'!AG84*100,#N/A)</f>
        <v>#N/A</v>
      </c>
      <c r="AR75" s="113" t="e">
        <f>Standard!H77/7</f>
        <v>#VALUE!</v>
      </c>
      <c r="AS75" s="113" t="e">
        <f>IF('Production Data-Table'!O84="",#N/A,'Production Data-Table'!O84/7)</f>
        <v>#N/A</v>
      </c>
      <c r="AT75" s="1" t="e">
        <f>IF('Production Data-Table'!G84&lt;&gt;"",'Production Data-Table'!S84,#N/A)</f>
        <v>#N/A</v>
      </c>
      <c r="AU75" s="1" t="e">
        <f>IF('Production Data-Table'!Z84&lt;&gt;"",'Production Data-Table'!Z84,#N/A)</f>
        <v>#N/A</v>
      </c>
    </row>
    <row r="76" spans="2:47" x14ac:dyDescent="0.2">
      <c r="B76" s="1">
        <v>88</v>
      </c>
      <c r="C76" s="93" t="e">
        <f>100-Standard!E78</f>
        <v>#VALUE!</v>
      </c>
      <c r="D76" s="85" t="e">
        <f>IF('Production Data-Table'!E86="",#N/A,'Production Data-Table'!E86*100)</f>
        <v>#N/A</v>
      </c>
      <c r="E76" s="82" t="str">
        <f>Standard!D78</f>
        <v/>
      </c>
      <c r="F76" s="82" t="e">
        <f t="shared" ref="F76:S76" si="90">E76*$E$3</f>
        <v>#VALUE!</v>
      </c>
      <c r="G76" s="82" t="e">
        <f t="shared" si="90"/>
        <v>#VALUE!</v>
      </c>
      <c r="H76" s="82" t="e">
        <f t="shared" si="90"/>
        <v>#VALUE!</v>
      </c>
      <c r="I76" s="82" t="e">
        <f t="shared" si="90"/>
        <v>#VALUE!</v>
      </c>
      <c r="J76" s="82" t="e">
        <f t="shared" si="90"/>
        <v>#VALUE!</v>
      </c>
      <c r="K76" s="82" t="e">
        <f t="shared" si="90"/>
        <v>#VALUE!</v>
      </c>
      <c r="L76" s="82" t="e">
        <f t="shared" si="90"/>
        <v>#VALUE!</v>
      </c>
      <c r="M76" s="82" t="e">
        <f t="shared" si="90"/>
        <v>#VALUE!</v>
      </c>
      <c r="N76" s="82" t="e">
        <f t="shared" si="90"/>
        <v>#VALUE!</v>
      </c>
      <c r="O76" s="82" t="e">
        <f t="shared" si="90"/>
        <v>#VALUE!</v>
      </c>
      <c r="P76" s="82" t="e">
        <f t="shared" si="90"/>
        <v>#VALUE!</v>
      </c>
      <c r="Q76" s="82" t="e">
        <f t="shared" si="90"/>
        <v>#VALUE!</v>
      </c>
      <c r="R76" s="82" t="e">
        <f t="shared" si="90"/>
        <v>#VALUE!</v>
      </c>
      <c r="S76" s="82" t="e">
        <f t="shared" si="90"/>
        <v>#VALUE!</v>
      </c>
      <c r="T76" s="83" t="e">
        <f>IF('Production Data-Table'!H86="",#N/A,'Production Data-Table'!H86)</f>
        <v>#N/A</v>
      </c>
      <c r="U76" s="84" t="e">
        <f t="shared" si="83"/>
        <v>#VALUE!</v>
      </c>
      <c r="V76" s="84" t="e">
        <f t="shared" ref="V76:AA78" si="91">W76*$V$3</f>
        <v>#VALUE!</v>
      </c>
      <c r="W76" s="84" t="e">
        <f t="shared" si="91"/>
        <v>#VALUE!</v>
      </c>
      <c r="X76" s="84" t="e">
        <f t="shared" si="91"/>
        <v>#VALUE!</v>
      </c>
      <c r="Y76" s="84" t="e">
        <f t="shared" si="91"/>
        <v>#VALUE!</v>
      </c>
      <c r="Z76" s="84" t="e">
        <f t="shared" si="91"/>
        <v>#VALUE!</v>
      </c>
      <c r="AA76" s="84" t="e">
        <f t="shared" si="91"/>
        <v>#VALUE!</v>
      </c>
      <c r="AB76" s="84" t="str">
        <f>Standard!G78</f>
        <v/>
      </c>
      <c r="AC76" s="84" t="e">
        <f t="shared" ref="AC76:AI78" si="92">AB76*$U$3</f>
        <v>#VALUE!</v>
      </c>
      <c r="AD76" s="84" t="e">
        <f t="shared" si="92"/>
        <v>#VALUE!</v>
      </c>
      <c r="AE76" s="84" t="e">
        <f t="shared" si="92"/>
        <v>#VALUE!</v>
      </c>
      <c r="AF76" s="84" t="e">
        <f t="shared" si="92"/>
        <v>#VALUE!</v>
      </c>
      <c r="AG76" s="84" t="e">
        <f t="shared" si="92"/>
        <v>#VALUE!</v>
      </c>
      <c r="AH76" s="84" t="e">
        <f t="shared" si="92"/>
        <v>#VALUE!</v>
      </c>
      <c r="AI76" s="84" t="e">
        <f t="shared" si="92"/>
        <v>#VALUE!</v>
      </c>
      <c r="AJ76" s="84" t="e">
        <f>IF('Production Data-Table'!M86="",#N/A,'Production Data-Table'!M86)</f>
        <v>#N/A</v>
      </c>
      <c r="AK76" s="86" t="e">
        <f t="shared" si="84"/>
        <v>#VALUE!</v>
      </c>
      <c r="AL76" s="86" t="e">
        <f t="shared" si="85"/>
        <v>#N/A</v>
      </c>
      <c r="AM76" s="86" t="str">
        <f>Standard!B78</f>
        <v/>
      </c>
      <c r="AN76" s="87" t="e">
        <f>IF('Production Data-Table'!AH86&lt;&gt;"",'Production Data-Table'!AH86,#N/A)</f>
        <v>#N/A</v>
      </c>
      <c r="AO76" s="97" t="e">
        <f>IF('Production Data-Table'!AC87="",#N/A,'Production Data-Table'!AC85*100)</f>
        <v>#N/A</v>
      </c>
      <c r="AP76" s="97" t="e">
        <f>IF('Production Data-Table'!AE87&lt;&gt;"",'Production Data-Table'!AE85*100,#N/A)</f>
        <v>#N/A</v>
      </c>
      <c r="AQ76" s="97" t="e">
        <f>IF('Production Data-Table'!AG87&lt;&gt;"",'Production Data-Table'!AG85*100,#N/A)</f>
        <v>#N/A</v>
      </c>
      <c r="AR76" s="113" t="e">
        <f>Standard!H78/7</f>
        <v>#VALUE!</v>
      </c>
      <c r="AS76" s="113" t="e">
        <f>IF('Production Data-Table'!O85="",#N/A,'Production Data-Table'!O85/7)</f>
        <v>#N/A</v>
      </c>
      <c r="AT76" s="1" t="e">
        <f>IF('Production Data-Table'!G85&lt;&gt;"",'Production Data-Table'!S85,#N/A)</f>
        <v>#N/A</v>
      </c>
      <c r="AU76" s="1" t="e">
        <f>IF('Production Data-Table'!Z85&lt;&gt;"",'Production Data-Table'!Z85,#N/A)</f>
        <v>#N/A</v>
      </c>
    </row>
    <row r="77" spans="2:47" x14ac:dyDescent="0.2">
      <c r="B77" s="1">
        <v>89</v>
      </c>
      <c r="C77" s="93" t="e">
        <f>100-Standard!E79</f>
        <v>#VALUE!</v>
      </c>
      <c r="D77" s="85" t="e">
        <f>IF('Production Data-Table'!E87="",#N/A,'Production Data-Table'!E87*100)</f>
        <v>#N/A</v>
      </c>
      <c r="E77" s="82" t="str">
        <f>Standard!D79</f>
        <v/>
      </c>
      <c r="F77" s="82" t="e">
        <f t="shared" ref="F77:S77" si="93">E77*$E$3</f>
        <v>#VALUE!</v>
      </c>
      <c r="G77" s="82" t="e">
        <f t="shared" si="93"/>
        <v>#VALUE!</v>
      </c>
      <c r="H77" s="82" t="e">
        <f t="shared" si="93"/>
        <v>#VALUE!</v>
      </c>
      <c r="I77" s="82" t="e">
        <f t="shared" si="93"/>
        <v>#VALUE!</v>
      </c>
      <c r="J77" s="82" t="e">
        <f t="shared" si="93"/>
        <v>#VALUE!</v>
      </c>
      <c r="K77" s="82" t="e">
        <f t="shared" si="93"/>
        <v>#VALUE!</v>
      </c>
      <c r="L77" s="82" t="e">
        <f t="shared" si="93"/>
        <v>#VALUE!</v>
      </c>
      <c r="M77" s="82" t="e">
        <f t="shared" si="93"/>
        <v>#VALUE!</v>
      </c>
      <c r="N77" s="82" t="e">
        <f t="shared" si="93"/>
        <v>#VALUE!</v>
      </c>
      <c r="O77" s="82" t="e">
        <f t="shared" si="93"/>
        <v>#VALUE!</v>
      </c>
      <c r="P77" s="82" t="e">
        <f t="shared" si="93"/>
        <v>#VALUE!</v>
      </c>
      <c r="Q77" s="82" t="e">
        <f t="shared" si="93"/>
        <v>#VALUE!</v>
      </c>
      <c r="R77" s="82" t="e">
        <f t="shared" si="93"/>
        <v>#VALUE!</v>
      </c>
      <c r="S77" s="82" t="e">
        <f t="shared" si="93"/>
        <v>#VALUE!</v>
      </c>
      <c r="T77" s="83" t="e">
        <f>IF('Production Data-Table'!H87="",#N/A,'Production Data-Table'!H87)</f>
        <v>#N/A</v>
      </c>
      <c r="U77" s="84" t="e">
        <f t="shared" si="83"/>
        <v>#VALUE!</v>
      </c>
      <c r="V77" s="84" t="e">
        <f t="shared" si="91"/>
        <v>#VALUE!</v>
      </c>
      <c r="W77" s="84" t="e">
        <f t="shared" si="91"/>
        <v>#VALUE!</v>
      </c>
      <c r="X77" s="84" t="e">
        <f t="shared" si="91"/>
        <v>#VALUE!</v>
      </c>
      <c r="Y77" s="84" t="e">
        <f t="shared" si="91"/>
        <v>#VALUE!</v>
      </c>
      <c r="Z77" s="84" t="e">
        <f t="shared" si="91"/>
        <v>#VALUE!</v>
      </c>
      <c r="AA77" s="84" t="e">
        <f t="shared" si="91"/>
        <v>#VALUE!</v>
      </c>
      <c r="AB77" s="84" t="str">
        <f>Standard!G79</f>
        <v/>
      </c>
      <c r="AC77" s="84" t="e">
        <f t="shared" si="92"/>
        <v>#VALUE!</v>
      </c>
      <c r="AD77" s="84" t="e">
        <f t="shared" si="92"/>
        <v>#VALUE!</v>
      </c>
      <c r="AE77" s="84" t="e">
        <f t="shared" si="92"/>
        <v>#VALUE!</v>
      </c>
      <c r="AF77" s="84" t="e">
        <f t="shared" si="92"/>
        <v>#VALUE!</v>
      </c>
      <c r="AG77" s="84" t="e">
        <f t="shared" si="92"/>
        <v>#VALUE!</v>
      </c>
      <c r="AH77" s="84" t="e">
        <f t="shared" si="92"/>
        <v>#VALUE!</v>
      </c>
      <c r="AI77" s="84" t="e">
        <f t="shared" si="92"/>
        <v>#VALUE!</v>
      </c>
      <c r="AJ77" s="84" t="e">
        <f>IF('Production Data-Table'!M87="",#N/A,'Production Data-Table'!M87)</f>
        <v>#N/A</v>
      </c>
      <c r="AK77" s="86" t="e">
        <f t="shared" si="84"/>
        <v>#VALUE!</v>
      </c>
      <c r="AL77" s="86" t="e">
        <f t="shared" si="85"/>
        <v>#N/A</v>
      </c>
      <c r="AM77" s="86" t="str">
        <f>Standard!B79</f>
        <v/>
      </c>
      <c r="AN77" s="87" t="e">
        <f>IF('Production Data-Table'!AH87&lt;&gt;"",'Production Data-Table'!AH87,#N/A)</f>
        <v>#N/A</v>
      </c>
      <c r="AO77" s="97" t="e">
        <f>IF('Production Data-Table'!AC88="",#N/A,'Production Data-Table'!AC86*100)</f>
        <v>#N/A</v>
      </c>
      <c r="AP77" s="97" t="e">
        <f>IF('Production Data-Table'!AE88&lt;&gt;"",'Production Data-Table'!AE86*100,#N/A)</f>
        <v>#N/A</v>
      </c>
      <c r="AQ77" s="97" t="e">
        <f>IF('Production Data-Table'!AG88&lt;&gt;"",'Production Data-Table'!AG86*100,#N/A)</f>
        <v>#N/A</v>
      </c>
      <c r="AR77" s="113" t="e">
        <f>Standard!H79/7</f>
        <v>#VALUE!</v>
      </c>
      <c r="AS77" s="113" t="e">
        <f>IF('Production Data-Table'!O86="",#N/A,'Production Data-Table'!O86/7)</f>
        <v>#N/A</v>
      </c>
      <c r="AT77" s="1" t="e">
        <f>IF('Production Data-Table'!G86&lt;&gt;"",'Production Data-Table'!S86,#N/A)</f>
        <v>#N/A</v>
      </c>
      <c r="AU77" s="1" t="e">
        <f>IF('Production Data-Table'!Z86&lt;&gt;"",'Production Data-Table'!Z86,#N/A)</f>
        <v>#N/A</v>
      </c>
    </row>
    <row r="78" spans="2:47" x14ac:dyDescent="0.2">
      <c r="B78" s="1">
        <v>90</v>
      </c>
      <c r="C78" s="93" t="e">
        <f>100-Standard!E80</f>
        <v>#VALUE!</v>
      </c>
      <c r="D78" s="85" t="e">
        <f>IF('Production Data-Table'!E88="",#N/A,'Production Data-Table'!E88*100)</f>
        <v>#N/A</v>
      </c>
      <c r="E78" s="82" t="str">
        <f>Standard!D80</f>
        <v/>
      </c>
      <c r="F78" s="82" t="e">
        <f t="shared" ref="F78:S78" si="94">E78*$E$3</f>
        <v>#VALUE!</v>
      </c>
      <c r="G78" s="82" t="e">
        <f t="shared" si="94"/>
        <v>#VALUE!</v>
      </c>
      <c r="H78" s="82" t="e">
        <f t="shared" si="94"/>
        <v>#VALUE!</v>
      </c>
      <c r="I78" s="82" t="e">
        <f t="shared" si="94"/>
        <v>#VALUE!</v>
      </c>
      <c r="J78" s="82" t="e">
        <f t="shared" si="94"/>
        <v>#VALUE!</v>
      </c>
      <c r="K78" s="82" t="e">
        <f t="shared" si="94"/>
        <v>#VALUE!</v>
      </c>
      <c r="L78" s="82" t="e">
        <f t="shared" si="94"/>
        <v>#VALUE!</v>
      </c>
      <c r="M78" s="82" t="e">
        <f t="shared" si="94"/>
        <v>#VALUE!</v>
      </c>
      <c r="N78" s="82" t="e">
        <f t="shared" si="94"/>
        <v>#VALUE!</v>
      </c>
      <c r="O78" s="82" t="e">
        <f t="shared" si="94"/>
        <v>#VALUE!</v>
      </c>
      <c r="P78" s="82" t="e">
        <f t="shared" si="94"/>
        <v>#VALUE!</v>
      </c>
      <c r="Q78" s="82" t="e">
        <f t="shared" si="94"/>
        <v>#VALUE!</v>
      </c>
      <c r="R78" s="82" t="e">
        <f t="shared" si="94"/>
        <v>#VALUE!</v>
      </c>
      <c r="S78" s="82" t="e">
        <f t="shared" si="94"/>
        <v>#VALUE!</v>
      </c>
      <c r="T78" s="83" t="e">
        <f>IF('Production Data-Table'!H88="",#N/A,'Production Data-Table'!H88)</f>
        <v>#N/A</v>
      </c>
      <c r="U78" s="84" t="e">
        <f t="shared" si="83"/>
        <v>#VALUE!</v>
      </c>
      <c r="V78" s="84" t="e">
        <f t="shared" si="91"/>
        <v>#VALUE!</v>
      </c>
      <c r="W78" s="84" t="e">
        <f t="shared" si="91"/>
        <v>#VALUE!</v>
      </c>
      <c r="X78" s="84" t="e">
        <f t="shared" si="91"/>
        <v>#VALUE!</v>
      </c>
      <c r="Y78" s="84" t="e">
        <f t="shared" si="91"/>
        <v>#VALUE!</v>
      </c>
      <c r="Z78" s="84" t="e">
        <f t="shared" si="91"/>
        <v>#VALUE!</v>
      </c>
      <c r="AA78" s="84" t="e">
        <f t="shared" si="91"/>
        <v>#VALUE!</v>
      </c>
      <c r="AB78" s="84" t="str">
        <f>Standard!G80</f>
        <v/>
      </c>
      <c r="AC78" s="84" t="e">
        <f t="shared" si="92"/>
        <v>#VALUE!</v>
      </c>
      <c r="AD78" s="84" t="e">
        <f t="shared" si="92"/>
        <v>#VALUE!</v>
      </c>
      <c r="AE78" s="84" t="e">
        <f t="shared" si="92"/>
        <v>#VALUE!</v>
      </c>
      <c r="AF78" s="84" t="e">
        <f t="shared" si="92"/>
        <v>#VALUE!</v>
      </c>
      <c r="AG78" s="84" t="e">
        <f t="shared" si="92"/>
        <v>#VALUE!</v>
      </c>
      <c r="AH78" s="84" t="e">
        <f t="shared" si="92"/>
        <v>#VALUE!</v>
      </c>
      <c r="AI78" s="84" t="e">
        <f t="shared" si="92"/>
        <v>#VALUE!</v>
      </c>
      <c r="AJ78" s="84" t="e">
        <f>IF('Production Data-Table'!M88="",#N/A,'Production Data-Table'!M88)</f>
        <v>#N/A</v>
      </c>
      <c r="AK78" s="86" t="e">
        <f t="shared" si="84"/>
        <v>#VALUE!</v>
      </c>
      <c r="AL78" s="86" t="e">
        <f t="shared" si="85"/>
        <v>#N/A</v>
      </c>
      <c r="AM78" s="86" t="str">
        <f>Standard!B80</f>
        <v/>
      </c>
      <c r="AN78" s="87" t="e">
        <f>IF('Production Data-Table'!AH88&lt;&gt;"",'Production Data-Table'!AH88,#N/A)</f>
        <v>#N/A</v>
      </c>
      <c r="AO78" s="97" t="e">
        <f>IF('Production Data-Table'!AC89="",#N/A,'Production Data-Table'!AC87*100)</f>
        <v>#N/A</v>
      </c>
      <c r="AP78" s="97" t="e">
        <f>IF('Production Data-Table'!AE89&lt;&gt;"",'Production Data-Table'!AE87*100,#N/A)</f>
        <v>#N/A</v>
      </c>
      <c r="AQ78" s="97" t="e">
        <f>IF('Production Data-Table'!AG89&lt;&gt;"",'Production Data-Table'!AG87*100,#N/A)</f>
        <v>#N/A</v>
      </c>
      <c r="AR78" s="113" t="e">
        <f>Standard!H80/7</f>
        <v>#VALUE!</v>
      </c>
      <c r="AS78" s="113" t="e">
        <f>IF('Production Data-Table'!O87="",#N/A,'Production Data-Table'!O87/7)</f>
        <v>#N/A</v>
      </c>
      <c r="AT78" s="1" t="e">
        <f>IF('Production Data-Table'!G87&lt;&gt;"",'Production Data-Table'!S87,#N/A)</f>
        <v>#N/A</v>
      </c>
      <c r="AU78" s="1" t="e">
        <f>IF('Production Data-Table'!Z87&lt;&gt;"",'Production Data-Table'!Z87,#N/A)</f>
        <v>#N/A</v>
      </c>
    </row>
    <row r="80" spans="2:47" x14ac:dyDescent="0.2">
      <c r="B80" s="1" t="s">
        <v>77</v>
      </c>
      <c r="AG80" s="1">
        <v>0</v>
      </c>
    </row>
  </sheetData>
  <mergeCells count="6">
    <mergeCell ref="AR4:AS4"/>
    <mergeCell ref="C4:D4"/>
    <mergeCell ref="E4:T4"/>
    <mergeCell ref="U4:AJ4"/>
    <mergeCell ref="AK4:AN4"/>
    <mergeCell ref="AO4:AQ4"/>
  </mergeCells>
  <pageMargins left="0.78740157499999996" right="0.78740157499999996" top="0.984251969" bottom="0.984251969" header="0.4921259845" footer="0.4921259845"/>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S83"/>
  <sheetViews>
    <sheetView workbookViewId="0">
      <selection activeCell="J73" sqref="J7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9" width="20.28515625" style="8" bestFit="1" customWidth="1"/>
    <col min="20" max="16384" width="11.42578125" style="8"/>
  </cols>
  <sheetData>
    <row r="1" spans="1:19" ht="26.25" x14ac:dyDescent="0.4">
      <c r="A1" s="542" t="s">
        <v>256</v>
      </c>
      <c r="B1" s="542"/>
      <c r="C1" s="542"/>
      <c r="D1" s="542"/>
      <c r="E1" s="542"/>
      <c r="F1" s="542"/>
      <c r="G1" s="542"/>
      <c r="H1" s="542"/>
      <c r="I1" s="542"/>
      <c r="J1" s="542"/>
      <c r="K1" s="542"/>
      <c r="L1" s="542"/>
      <c r="N1" s="542" t="s">
        <v>260</v>
      </c>
      <c r="O1" s="542"/>
      <c r="P1" s="542"/>
      <c r="Q1" s="542"/>
      <c r="S1" s="108" t="str">
        <f>CONCATENATE(S3," ",S4)</f>
        <v xml:space="preserve"> </v>
      </c>
    </row>
    <row r="3" spans="1:19" ht="15" customHeight="1" x14ac:dyDescent="0.25">
      <c r="A3" s="9"/>
      <c r="B3" s="9"/>
      <c r="C3" s="9"/>
      <c r="D3" s="9"/>
      <c r="E3" s="9"/>
      <c r="F3" s="9"/>
      <c r="G3" s="9"/>
      <c r="H3" s="9"/>
      <c r="I3" s="9"/>
      <c r="J3" s="9"/>
      <c r="K3" s="9"/>
      <c r="L3" s="9"/>
      <c r="S3" s="108" t="str">
        <f>Data!F36</f>
        <v/>
      </c>
    </row>
    <row r="4" spans="1:19" ht="15" customHeight="1" x14ac:dyDescent="0.25">
      <c r="A4" s="10"/>
      <c r="B4" s="11" t="s">
        <v>13</v>
      </c>
      <c r="C4" s="11" t="s">
        <v>149</v>
      </c>
      <c r="D4" s="11" t="s">
        <v>150</v>
      </c>
      <c r="E4" s="11" t="s">
        <v>151</v>
      </c>
      <c r="F4" s="11" t="s">
        <v>151</v>
      </c>
      <c r="G4" s="11" t="s">
        <v>152</v>
      </c>
      <c r="H4" s="11" t="s">
        <v>153</v>
      </c>
      <c r="I4" s="11" t="s">
        <v>151</v>
      </c>
      <c r="J4" s="11" t="s">
        <v>151</v>
      </c>
      <c r="K4" s="11" t="s">
        <v>154</v>
      </c>
      <c r="L4" s="11" t="s">
        <v>155</v>
      </c>
      <c r="S4" s="108" t="str">
        <f>IF(Data!F35="","",IF(OR(Data!F35="Cages",Data!F35="Jaulas", Data!F35="Клетка"),"Cages","Alternatif"))</f>
        <v/>
      </c>
    </row>
    <row r="5" spans="1:19"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9"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0" t="s">
        <v>89</v>
      </c>
      <c r="Q6" s="541"/>
    </row>
    <row r="7" spans="1:19" ht="15" customHeight="1" x14ac:dyDescent="0.2">
      <c r="A7" s="10"/>
      <c r="B7" s="10"/>
      <c r="C7" s="10"/>
      <c r="D7" s="10"/>
      <c r="E7" s="10"/>
      <c r="F7" s="10"/>
      <c r="G7" s="10"/>
      <c r="H7" s="10"/>
      <c r="I7" s="10"/>
      <c r="J7" s="10"/>
      <c r="K7" s="10"/>
      <c r="L7" s="10"/>
      <c r="O7" s="98" t="s">
        <v>258</v>
      </c>
      <c r="P7" s="99" t="s">
        <v>156</v>
      </c>
      <c r="Q7" s="99" t="s">
        <v>259</v>
      </c>
    </row>
    <row r="8" spans="1:19" ht="15" customHeight="1" x14ac:dyDescent="0.2">
      <c r="A8" s="9">
        <v>18</v>
      </c>
      <c r="B8" s="12" t="str">
        <f>IF($S$1="NOVOgen WHITE Alternatif",'Standard NW Cl Alt'!B8,(IF($S$1="NOVOgen WHITE Light Alternatif",'Standard NW Li Alt'!B8,IF($S$1="NOVOgen WHITE Cages",'Standard NW Cl Ca'!B8,IF($S$1="NOVOgen WHITE Light Cages",'Standard NW Li Ca'!B8,"")))))</f>
        <v/>
      </c>
      <c r="C8" s="12" t="str">
        <f>IF($S$1="NOVOgen WHITE Alternatif",'Standard NW Cl Alt'!C8,(IF($S$1="NOVOgen WHITE Light Alternatif",'Standard NW Li Alt'!C8,IF($S$1="NOVOgen WHITE Cages",'Standard NW Cl Ca'!C8,IF($S$1="NOVOgen WHITE Light Cages",'Standard NW Li Ca'!C8,"")))))</f>
        <v/>
      </c>
      <c r="D8" s="12" t="str">
        <f>IF($S$1="NOVOgen WHITE Alternatif",'Standard NW Cl Alt'!D8,(IF($S$1="NOVOgen WHITE Light Alternatif",'Standard NW Li Alt'!D8,IF($S$1="NOVOgen WHITE Cages",'Standard NW Cl Ca'!D8,IF($S$1="NOVOgen WHITE Light Cages",'Standard NW Li Ca'!D8,"")))))</f>
        <v/>
      </c>
      <c r="E8" s="12" t="str">
        <f>IF($S$1="NOVOgen WHITE Alternatif",'Standard NW Cl Alt'!E8,(IF($S$1="NOVOgen WHITE Light Alternatif",'Standard NW Li Alt'!E8,IF($S$1="NOVOgen WHITE Cages",'Standard NW Cl Ca'!E8,IF($S$1="NOVOgen WHITE Light Cages",'Standard NW Li Ca'!E8,"")))))</f>
        <v/>
      </c>
      <c r="F8" s="12" t="str">
        <f>IF($S$1="NOVOgen WHITE Alternatif",'Standard NW Cl Alt'!F8,(IF($S$1="NOVOgen WHITE Light Alternatif",'Standard NW Li Alt'!F8,IF($S$1="NOVOgen WHITE Cages",'Standard NW Cl Ca'!F8,IF($S$1="NOVOgen WHITE Light Cages",'Standard NW Li Ca'!F8,"")))))</f>
        <v/>
      </c>
      <c r="G8" s="12" t="str">
        <f>IF($S$1="NOVOgen WHITE Alternatif",'Standard NW Cl Alt'!G8,(IF($S$1="NOVOgen WHITE Light Alternatif",'Standard NW Li Alt'!G8,IF($S$1="NOVOgen WHITE Cages",'Standard NW Cl Ca'!G8,IF($S$1="NOVOgen WHITE Light Cages",'Standard NW Li Ca'!G8,"")))))</f>
        <v/>
      </c>
      <c r="H8" s="12" t="str">
        <f>IF($S$1="NOVOgen WHITE Alternatif",'Standard NW Cl Alt'!H8,(IF($S$1="NOVOgen WHITE Light Alternatif",'Standard NW Li Alt'!H8,IF($S$1="NOVOgen WHITE Cages",'Standard NW Cl Ca'!H8,IF($S$1="NOVOgen WHITE Light Cages",'Standard NW Li Ca'!H8,"")))))</f>
        <v/>
      </c>
      <c r="I8" s="12" t="str">
        <f>IF($S$1="NOVOgen WHITE Alternatif",'Standard NW Cl Alt'!I8,(IF($S$1="NOVOgen WHITE Light Alternatif",'Standard NW Li Alt'!I8,IF($S$1="NOVOgen WHITE Cages",'Standard NW Cl Ca'!I8,IF($S$1="NOVOgen WHITE Light Cages",'Standard NW Li Ca'!I8,"")))))</f>
        <v/>
      </c>
      <c r="J8" s="12" t="str">
        <f>IF($S$1="NOVOgen WHITE Alternatif",'Standard NW Cl Alt'!J8,(IF($S$1="NOVOgen WHITE Light Alternatif",'Standard NW Li Alt'!J8,IF($S$1="NOVOgen WHITE Cages",'Standard NW Cl Ca'!J8,IF($S$1="NOVOgen WHITE Light Cages",'Standard NW Li Ca'!J8,"")))))</f>
        <v/>
      </c>
      <c r="K8" s="12" t="str">
        <f>IF($S$1="NOVOgen WHITE Alternatif",'Standard NW Cl Alt'!K8,(IF($S$1="NOVOgen WHITE Light Alternatif",'Standard NW Li Alt'!K8,IF($S$1="NOVOgen WHITE Cages",'Standard NW Cl Ca'!K8,IF($S$1="NOVOgen WHITE Light Cages",'Standard NW Li Ca'!K8,"")))))</f>
        <v/>
      </c>
      <c r="L8" s="12" t="str">
        <f>IF($S$1="NOVOgen WHITE Alternatif",'Standard NW Cl Alt'!L8,(IF($S$1="NOVOgen WHITE Light Alternatif",'Standard NW Li Alt'!L8,IF($S$1="NOVOgen WHITE Cages",'Standard NW Cl Ca'!L8,IF($S$1="NOVOgen WHITE Light Cages",'Standard NW Li Ca'!L8,"")))))</f>
        <v/>
      </c>
      <c r="N8" s="100">
        <v>0</v>
      </c>
      <c r="O8" s="101" t="str">
        <f>IF($S$1="NOVOgen WHITE Alternatif",'Standard NW Cl Alt'!O8,(IF($S$1="NOVOgen WHITE Light Alternatif",'Standard NW Li Alt'!O8,IF($S$1="NOVOgen WHITE Cages",'Standard NW Cl Ca'!O8,IF($S$1="NOVOgen WHITE Light Cages",'Standard NW Li Ca'!O8,"")))))</f>
        <v/>
      </c>
      <c r="P8" s="102" t="str">
        <f>IF($S$1="NOVOgen WHITE Alternatif",'Standard NW Cl Alt'!P8,(IF($S$1="NOVOgen WHITE Light Alternatif",'Standard NW Li Alt'!P8,IF($S$1="NOVOgen WHITE Cages",'Standard NW Cl Ca'!P8,IF($S$1="NOVOgen WHITE Light Cages",'Standard NW Li Ca'!P8,"")))))</f>
        <v/>
      </c>
      <c r="Q8" s="102" t="str">
        <f>IF($S$1="NOVOgen WHITE Alternatif",'Standard NW Cl Alt'!Q8,(IF($S$1="NOVOgen WHITE Light Alternatif",'Standard NW Li Alt'!Q8,IF($S$1="NOVOgen WHITE Cages",'Standard NW Cl Ca'!Q8,IF($S$1="NOVOgen WHITE Light Cages",'Standard NW Li Ca'!Q8,"")))))</f>
        <v/>
      </c>
    </row>
    <row r="9" spans="1:19" ht="15" customHeight="1" x14ac:dyDescent="0.2">
      <c r="A9" s="10">
        <v>19</v>
      </c>
      <c r="B9" s="13" t="str">
        <f>IF($S$1="NOVOgen WHITE Alternatif",'Standard NW Cl Alt'!B9,(IF($S$1="NOVOgen WHITE Light Alternatif",'Standard NW Li Alt'!B9,IF($S$1="NOVOgen WHITE Cages",'Standard NW Cl Ca'!B9,IF($S$1="NOVOgen WHITE Light Cages",'Standard NW Li Ca'!B9,"")))))</f>
        <v/>
      </c>
      <c r="C9" s="13" t="str">
        <f>IF($S$1="NOVOgen WHITE Alternatif",'Standard NW Cl Alt'!C9,(IF($S$1="NOVOgen WHITE Light Alternatif",'Standard NW Li Alt'!C9,IF($S$1="NOVOgen WHITE Cages",'Standard NW Cl Ca'!C9,IF($S$1="NOVOgen WHITE Light Cages",'Standard NW Li Ca'!C9,"")))))</f>
        <v/>
      </c>
      <c r="D9" s="13" t="str">
        <f>IF($S$1="NOVOgen WHITE Alternatif",'Standard NW Cl Alt'!D9,(IF($S$1="NOVOgen WHITE Light Alternatif",'Standard NW Li Alt'!D9,IF($S$1="NOVOgen WHITE Cages",'Standard NW Cl Ca'!D9,IF($S$1="NOVOgen WHITE Light Cages",'Standard NW Li Ca'!D9,"")))))</f>
        <v/>
      </c>
      <c r="E9" s="14" t="str">
        <f>IF($S$1="NOVOgen WHITE Alternatif",'Standard NW Cl Alt'!E9,(IF($S$1="NOVOgen WHITE Light Alternatif",'Standard NW Li Alt'!E9,IF($S$1="NOVOgen WHITE Cages",'Standard NW Cl Ca'!E9,IF($S$1="NOVOgen WHITE Light Cages",'Standard NW Li Ca'!E9,"")))))</f>
        <v/>
      </c>
      <c r="F9" s="13" t="str">
        <f>IF($S$1="NOVOgen WHITE Alternatif",'Standard NW Cl Alt'!F9,(IF($S$1="NOVOgen WHITE Light Alternatif",'Standard NW Li Alt'!F9,IF($S$1="NOVOgen WHITE Cages",'Standard NW Cl Ca'!F9,IF($S$1="NOVOgen WHITE Light Cages",'Standard NW Li Ca'!F9,"")))))</f>
        <v/>
      </c>
      <c r="G9" s="14" t="str">
        <f>IF($S$1="NOVOgen WHITE Alternatif",'Standard NW Cl Alt'!G9,(IF($S$1="NOVOgen WHITE Light Alternatif",'Standard NW Li Alt'!G9,IF($S$1="NOVOgen WHITE Cages",'Standard NW Cl Ca'!G9,IF($S$1="NOVOgen WHITE Light Cages",'Standard NW Li Ca'!G9,"")))))</f>
        <v/>
      </c>
      <c r="H9" s="13" t="str">
        <f>IF($S$1="NOVOgen WHITE Alternatif",'Standard NW Cl Alt'!H9,(IF($S$1="NOVOgen WHITE Light Alternatif",'Standard NW Li Alt'!H9,IF($S$1="NOVOgen WHITE Cages",'Standard NW Cl Ca'!H9,IF($S$1="NOVOgen WHITE Light Cages",'Standard NW Li Ca'!H9,"")))))</f>
        <v/>
      </c>
      <c r="I9" s="13" t="str">
        <f>IF($S$1="NOVOgen WHITE Alternatif",'Standard NW Cl Alt'!I9,(IF($S$1="NOVOgen WHITE Light Alternatif",'Standard NW Li Alt'!I9,IF($S$1="NOVOgen WHITE Cages",'Standard NW Cl Ca'!I9,IF($S$1="NOVOgen WHITE Light Cages",'Standard NW Li Ca'!I9,"")))))</f>
        <v/>
      </c>
      <c r="J9" s="14" t="str">
        <f>IF($S$1="NOVOgen WHITE Alternatif",'Standard NW Cl Alt'!J9,(IF($S$1="NOVOgen WHITE Light Alternatif",'Standard NW Li Alt'!J9,IF($S$1="NOVOgen WHITE Cages",'Standard NW Cl Ca'!J9,IF($S$1="NOVOgen WHITE Light Cages",'Standard NW Li Ca'!J9,"")))))</f>
        <v/>
      </c>
      <c r="K9" s="15" t="str">
        <f>IF($S$1="NOVOgen WHITE Alternatif",'Standard NW Cl Alt'!K9,(IF($S$1="NOVOgen WHITE Light Alternatif",'Standard NW Li Alt'!K9,IF($S$1="NOVOgen WHITE Cages",'Standard NW Cl Ca'!K9,IF($S$1="NOVOgen WHITE Light Cages",'Standard NW Li Ca'!K9,"")))))</f>
        <v/>
      </c>
      <c r="L9" s="13" t="str">
        <f>IF($S$1="NOVOgen WHITE Alternatif",'Standard NW Cl Alt'!L9,(IF($S$1="NOVOgen WHITE Light Alternatif",'Standard NW Li Alt'!L9,IF($S$1="NOVOgen WHITE Cages",'Standard NW Cl Ca'!L9,IF($S$1="NOVOgen WHITE Light Cages",'Standard NW Li Ca'!L9,"")))))</f>
        <v/>
      </c>
      <c r="N9" s="101">
        <v>1</v>
      </c>
      <c r="O9" s="101" t="str">
        <f>IF($S$1="NOVOgen WHITE Alternatif",'Standard NW Cl Alt'!O9,(IF($S$1="NOVOgen WHITE Light Alternatif",'Standard NW Li Alt'!O9,IF($S$1="NOVOgen WHITE Cages",'Standard NW Cl Ca'!O9,IF($S$1="NOVOgen WHITE Light Cages",'Standard NW Li Ca'!O9,"")))))</f>
        <v/>
      </c>
      <c r="P9" s="102" t="str">
        <f>IF($S$1="NOVOgen WHITE Alternatif",'Standard NW Cl Alt'!P9,(IF($S$1="NOVOgen WHITE Light Alternatif",'Standard NW Li Alt'!P9,IF($S$1="NOVOgen WHITE Cages",'Standard NW Cl Ca'!P9,IF($S$1="NOVOgen WHITE Light Cages",'Standard NW Li Ca'!P9,"")))))</f>
        <v/>
      </c>
      <c r="Q9" s="102" t="str">
        <f>IF($S$1="NOVOgen WHITE Alternatif",'Standard NW Cl Alt'!Q9,(IF($S$1="NOVOgen WHITE Light Alternatif",'Standard NW Li Alt'!Q9,IF($S$1="NOVOgen WHITE Cages",'Standard NW Cl Ca'!Q9,IF($S$1="NOVOgen WHITE Light Cages",'Standard NW Li Ca'!Q9,"")))))</f>
        <v/>
      </c>
    </row>
    <row r="10" spans="1:19" ht="15" customHeight="1" x14ac:dyDescent="0.2">
      <c r="A10" s="16">
        <v>20</v>
      </c>
      <c r="B10" s="17" t="str">
        <f>IF($S$1="NOVOgen WHITE Alternatif",'Standard NW Cl Alt'!B10,(IF($S$1="NOVOgen WHITE Light Alternatif",'Standard NW Li Alt'!B10,IF($S$1="NOVOgen WHITE Cages",'Standard NW Cl Ca'!B10,IF($S$1="NOVOgen WHITE Light Cages",'Standard NW Li Ca'!B10,"")))))</f>
        <v/>
      </c>
      <c r="C10" s="17" t="str">
        <f>IF($S$1="NOVOgen WHITE Alternatif",'Standard NW Cl Alt'!C10,(IF($S$1="NOVOgen WHITE Light Alternatif",'Standard NW Li Alt'!C10,IF($S$1="NOVOgen WHITE Cages",'Standard NW Cl Ca'!C10,IF($S$1="NOVOgen WHITE Light Cages",'Standard NW Li Ca'!C10,"")))))</f>
        <v/>
      </c>
      <c r="D10" s="17" t="str">
        <f>IF($S$1="NOVOgen WHITE Alternatif",'Standard NW Cl Alt'!D10,(IF($S$1="NOVOgen WHITE Light Alternatif",'Standard NW Li Alt'!D10,IF($S$1="NOVOgen WHITE Cages",'Standard NW Cl Ca'!D10,IF($S$1="NOVOgen WHITE Light Cages",'Standard NW Li Ca'!D10,"")))))</f>
        <v/>
      </c>
      <c r="E10" s="18" t="str">
        <f>IF($S$1="NOVOgen WHITE Alternatif",'Standard NW Cl Alt'!E10,(IF($S$1="NOVOgen WHITE Light Alternatif",'Standard NW Li Alt'!E10,IF($S$1="NOVOgen WHITE Cages",'Standard NW Cl Ca'!E10,IF($S$1="NOVOgen WHITE Light Cages",'Standard NW Li Ca'!E10,"")))))</f>
        <v/>
      </c>
      <c r="F10" s="17" t="str">
        <f>IF($S$1="NOVOgen WHITE Alternatif",'Standard NW Cl Alt'!F10,(IF($S$1="NOVOgen WHITE Light Alternatif",'Standard NW Li Alt'!F10,IF($S$1="NOVOgen WHITE Cages",'Standard NW Cl Ca'!F10,IF($S$1="NOVOgen WHITE Light Cages",'Standard NW Li Ca'!F10,"")))))</f>
        <v/>
      </c>
      <c r="G10" s="18" t="str">
        <f>IF($S$1="NOVOgen WHITE Alternatif",'Standard NW Cl Alt'!G10,(IF($S$1="NOVOgen WHITE Light Alternatif",'Standard NW Li Alt'!G10,IF($S$1="NOVOgen WHITE Cages",'Standard NW Cl Ca'!G10,IF($S$1="NOVOgen WHITE Light Cages",'Standard NW Li Ca'!G10,"")))))</f>
        <v/>
      </c>
      <c r="H10" s="17" t="str">
        <f>IF($S$1="NOVOgen WHITE Alternatif",'Standard NW Cl Alt'!H10,(IF($S$1="NOVOgen WHITE Light Alternatif",'Standard NW Li Alt'!H10,IF($S$1="NOVOgen WHITE Cages",'Standard NW Cl Ca'!H10,IF($S$1="NOVOgen WHITE Light Cages",'Standard NW Li Ca'!H10,"")))))</f>
        <v/>
      </c>
      <c r="I10" s="17" t="str">
        <f>IF($S$1="NOVOgen WHITE Alternatif",'Standard NW Cl Alt'!I10,(IF($S$1="NOVOgen WHITE Light Alternatif",'Standard NW Li Alt'!I10,IF($S$1="NOVOgen WHITE Cages",'Standard NW Cl Ca'!I10,IF($S$1="NOVOgen WHITE Light Cages",'Standard NW Li Ca'!I10,"")))))</f>
        <v/>
      </c>
      <c r="J10" s="18" t="str">
        <f>IF($S$1="NOVOgen WHITE Alternatif",'Standard NW Cl Alt'!J10,(IF($S$1="NOVOgen WHITE Light Alternatif",'Standard NW Li Alt'!J10,IF($S$1="NOVOgen WHITE Cages",'Standard NW Cl Ca'!J10,IF($S$1="NOVOgen WHITE Light Cages",'Standard NW Li Ca'!J10,"")))))</f>
        <v/>
      </c>
      <c r="K10" s="19" t="str">
        <f>IF($S$1="NOVOgen WHITE Alternatif",'Standard NW Cl Alt'!K10,(IF($S$1="NOVOgen WHITE Light Alternatif",'Standard NW Li Alt'!K10,IF($S$1="NOVOgen WHITE Cages",'Standard NW Cl Ca'!K10,IF($S$1="NOVOgen WHITE Light Cages",'Standard NW Li Ca'!K10,"")))))</f>
        <v/>
      </c>
      <c r="L10" s="17" t="str">
        <f>IF($S$1="NOVOgen WHITE Alternatif",'Standard NW Cl Alt'!L10,(IF($S$1="NOVOgen WHITE Light Alternatif",'Standard NW Li Alt'!L10,IF($S$1="NOVOgen WHITE Cages",'Standard NW Cl Ca'!L10,IF($S$1="NOVOgen WHITE Light Cages",'Standard NW Li Ca'!L10,"")))))</f>
        <v/>
      </c>
      <c r="N10" s="101">
        <v>2</v>
      </c>
      <c r="O10" s="101" t="str">
        <f>IF($S$1="NOVOgen WHITE Alternatif",'Standard NW Cl Alt'!O10,(IF($S$1="NOVOgen WHITE Light Alternatif",'Standard NW Li Alt'!O10,IF($S$1="NOVOgen WHITE Cages",'Standard NW Cl Ca'!O10,IF($S$1="NOVOgen WHITE Light Cages",'Standard NW Li Ca'!O10,"")))))</f>
        <v/>
      </c>
      <c r="P10" s="102" t="str">
        <f>IF($S$1="NOVOgen WHITE Alternatif",'Standard NW Cl Alt'!P10,(IF($S$1="NOVOgen WHITE Light Alternatif",'Standard NW Li Alt'!P10,IF($S$1="NOVOgen WHITE Cages",'Standard NW Cl Ca'!P10,IF($S$1="NOVOgen WHITE Light Cages",'Standard NW Li Ca'!P10,"")))))</f>
        <v/>
      </c>
      <c r="Q10" s="102" t="str">
        <f>IF($S$1="NOVOgen WHITE Alternatif",'Standard NW Cl Alt'!Q10,(IF($S$1="NOVOgen WHITE Light Alternatif",'Standard NW Li Alt'!Q10,IF($S$1="NOVOgen WHITE Cages",'Standard NW Cl Ca'!Q10,IF($S$1="NOVOgen WHITE Light Cages",'Standard NW Li Ca'!Q10,"")))))</f>
        <v/>
      </c>
    </row>
    <row r="11" spans="1:19" ht="15" customHeight="1" x14ac:dyDescent="0.2">
      <c r="A11" s="10">
        <v>21</v>
      </c>
      <c r="B11" s="13" t="str">
        <f>IF($S$1="NOVOgen WHITE Alternatif",'Standard NW Cl Alt'!B11,(IF($S$1="NOVOgen WHITE Light Alternatif",'Standard NW Li Alt'!B11,IF($S$1="NOVOgen WHITE Cages",'Standard NW Cl Ca'!B11,IF($S$1="NOVOgen WHITE Light Cages",'Standard NW Li Ca'!B11,"")))))</f>
        <v/>
      </c>
      <c r="C11" s="13" t="str">
        <f>IF($S$1="NOVOgen WHITE Alternatif",'Standard NW Cl Alt'!C11,(IF($S$1="NOVOgen WHITE Light Alternatif",'Standard NW Li Alt'!C11,IF($S$1="NOVOgen WHITE Cages",'Standard NW Cl Ca'!C11,IF($S$1="NOVOgen WHITE Light Cages",'Standard NW Li Ca'!C11,"")))))</f>
        <v/>
      </c>
      <c r="D11" s="13" t="str">
        <f>IF($S$1="NOVOgen WHITE Alternatif",'Standard NW Cl Alt'!D11,(IF($S$1="NOVOgen WHITE Light Alternatif",'Standard NW Li Alt'!D11,IF($S$1="NOVOgen WHITE Cages",'Standard NW Cl Ca'!D11,IF($S$1="NOVOgen WHITE Light Cages",'Standard NW Li Ca'!D11,"")))))</f>
        <v/>
      </c>
      <c r="E11" s="14" t="str">
        <f>IF($S$1="NOVOgen WHITE Alternatif",'Standard NW Cl Alt'!E11,(IF($S$1="NOVOgen WHITE Light Alternatif",'Standard NW Li Alt'!E11,IF($S$1="NOVOgen WHITE Cages",'Standard NW Cl Ca'!E11,IF($S$1="NOVOgen WHITE Light Cages",'Standard NW Li Ca'!E11,"")))))</f>
        <v/>
      </c>
      <c r="F11" s="13" t="str">
        <f>IF($S$1="NOVOgen WHITE Alternatif",'Standard NW Cl Alt'!F11,(IF($S$1="NOVOgen WHITE Light Alternatif",'Standard NW Li Alt'!F11,IF($S$1="NOVOgen WHITE Cages",'Standard NW Cl Ca'!F11,IF($S$1="NOVOgen WHITE Light Cages",'Standard NW Li Ca'!F11,"")))))</f>
        <v/>
      </c>
      <c r="G11" s="14" t="str">
        <f>IF($S$1="NOVOgen WHITE Alternatif",'Standard NW Cl Alt'!G11,(IF($S$1="NOVOgen WHITE Light Alternatif",'Standard NW Li Alt'!G11,IF($S$1="NOVOgen WHITE Cages",'Standard NW Cl Ca'!G11,IF($S$1="NOVOgen WHITE Light Cages",'Standard NW Li Ca'!G11,"")))))</f>
        <v/>
      </c>
      <c r="H11" s="13" t="str">
        <f>IF($S$1="NOVOgen WHITE Alternatif",'Standard NW Cl Alt'!H11,(IF($S$1="NOVOgen WHITE Light Alternatif",'Standard NW Li Alt'!H11,IF($S$1="NOVOgen WHITE Cages",'Standard NW Cl Ca'!H11,IF($S$1="NOVOgen WHITE Light Cages",'Standard NW Li Ca'!H11,"")))))</f>
        <v/>
      </c>
      <c r="I11" s="13" t="str">
        <f>IF($S$1="NOVOgen WHITE Alternatif",'Standard NW Cl Alt'!I11,(IF($S$1="NOVOgen WHITE Light Alternatif",'Standard NW Li Alt'!I11,IF($S$1="NOVOgen WHITE Cages",'Standard NW Cl Ca'!I11,IF($S$1="NOVOgen WHITE Light Cages",'Standard NW Li Ca'!I11,"")))))</f>
        <v/>
      </c>
      <c r="J11" s="14" t="str">
        <f>IF($S$1="NOVOgen WHITE Alternatif",'Standard NW Cl Alt'!J11,(IF($S$1="NOVOgen WHITE Light Alternatif",'Standard NW Li Alt'!J11,IF($S$1="NOVOgen WHITE Cages",'Standard NW Cl Ca'!J11,IF($S$1="NOVOgen WHITE Light Cages",'Standard NW Li Ca'!J11,"")))))</f>
        <v/>
      </c>
      <c r="K11" s="15" t="str">
        <f>IF($S$1="NOVOgen WHITE Alternatif",'Standard NW Cl Alt'!K11,(IF($S$1="NOVOgen WHITE Light Alternatif",'Standard NW Li Alt'!K11,IF($S$1="NOVOgen WHITE Cages",'Standard NW Cl Ca'!K11,IF($S$1="NOVOgen WHITE Light Cages",'Standard NW Li Ca'!K11,"")))))</f>
        <v/>
      </c>
      <c r="L11" s="13" t="str">
        <f>IF($S$1="NOVOgen WHITE Alternatif",'Standard NW Cl Alt'!L11,(IF($S$1="NOVOgen WHITE Light Alternatif",'Standard NW Li Alt'!L11,IF($S$1="NOVOgen WHITE Cages",'Standard NW Cl Ca'!L11,IF($S$1="NOVOgen WHITE Light Cages",'Standard NW Li Ca'!L11,"")))))</f>
        <v/>
      </c>
      <c r="N11" s="101">
        <v>3</v>
      </c>
      <c r="O11" s="101" t="str">
        <f>IF($S$1="NOVOgen WHITE Alternatif",'Standard NW Cl Alt'!O11,(IF($S$1="NOVOgen WHITE Light Alternatif",'Standard NW Li Alt'!O11,IF($S$1="NOVOgen WHITE Cages",'Standard NW Cl Ca'!O11,IF($S$1="NOVOgen WHITE Light Cages",'Standard NW Li Ca'!O11,"")))))</f>
        <v/>
      </c>
      <c r="P11" s="102" t="str">
        <f>IF($S$1="NOVOgen WHITE Alternatif",'Standard NW Cl Alt'!P11,(IF($S$1="NOVOgen WHITE Light Alternatif",'Standard NW Li Alt'!P11,IF($S$1="NOVOgen WHITE Cages",'Standard NW Cl Ca'!P11,IF($S$1="NOVOgen WHITE Light Cages",'Standard NW Li Ca'!P11,"")))))</f>
        <v/>
      </c>
      <c r="Q11" s="102" t="str">
        <f>IF($S$1="NOVOgen WHITE Alternatif",'Standard NW Cl Alt'!Q11,(IF($S$1="NOVOgen WHITE Light Alternatif",'Standard NW Li Alt'!Q11,IF($S$1="NOVOgen WHITE Cages",'Standard NW Cl Ca'!Q11,IF($S$1="NOVOgen WHITE Light Cages",'Standard NW Li Ca'!Q11,"")))))</f>
        <v/>
      </c>
    </row>
    <row r="12" spans="1:19" ht="15" customHeight="1" x14ac:dyDescent="0.2">
      <c r="A12" s="10">
        <v>22</v>
      </c>
      <c r="B12" s="13" t="str">
        <f>IF($S$1="NOVOgen WHITE Alternatif",'Standard NW Cl Alt'!B12,(IF($S$1="NOVOgen WHITE Light Alternatif",'Standard NW Li Alt'!B12,IF($S$1="NOVOgen WHITE Cages",'Standard NW Cl Ca'!B12,IF($S$1="NOVOgen WHITE Light Cages",'Standard NW Li Ca'!B12,"")))))</f>
        <v/>
      </c>
      <c r="C12" s="13" t="str">
        <f>IF($S$1="NOVOgen WHITE Alternatif",'Standard NW Cl Alt'!C12,(IF($S$1="NOVOgen WHITE Light Alternatif",'Standard NW Li Alt'!C12,IF($S$1="NOVOgen WHITE Cages",'Standard NW Cl Ca'!C12,IF($S$1="NOVOgen WHITE Light Cages",'Standard NW Li Ca'!C12,"")))))</f>
        <v/>
      </c>
      <c r="D12" s="13" t="str">
        <f>IF($S$1="NOVOgen WHITE Alternatif",'Standard NW Cl Alt'!D12,(IF($S$1="NOVOgen WHITE Light Alternatif",'Standard NW Li Alt'!D12,IF($S$1="NOVOgen WHITE Cages",'Standard NW Cl Ca'!D12,IF($S$1="NOVOgen WHITE Light Cages",'Standard NW Li Ca'!D12,"")))))</f>
        <v/>
      </c>
      <c r="E12" s="14" t="str">
        <f>IF($S$1="NOVOgen WHITE Alternatif",'Standard NW Cl Alt'!E12,(IF($S$1="NOVOgen WHITE Light Alternatif",'Standard NW Li Alt'!E12,IF($S$1="NOVOgen WHITE Cages",'Standard NW Cl Ca'!E12,IF($S$1="NOVOgen WHITE Light Cages",'Standard NW Li Ca'!E12,"")))))</f>
        <v/>
      </c>
      <c r="F12" s="13" t="str">
        <f>IF($S$1="NOVOgen WHITE Alternatif",'Standard NW Cl Alt'!F12,(IF($S$1="NOVOgen WHITE Light Alternatif",'Standard NW Li Alt'!F12,IF($S$1="NOVOgen WHITE Cages",'Standard NW Cl Ca'!F12,IF($S$1="NOVOgen WHITE Light Cages",'Standard NW Li Ca'!F12,"")))))</f>
        <v/>
      </c>
      <c r="G12" s="14" t="str">
        <f>IF($S$1="NOVOgen WHITE Alternatif",'Standard NW Cl Alt'!G12,(IF($S$1="NOVOgen WHITE Light Alternatif",'Standard NW Li Alt'!G12,IF($S$1="NOVOgen WHITE Cages",'Standard NW Cl Ca'!G12,IF($S$1="NOVOgen WHITE Light Cages",'Standard NW Li Ca'!G12,"")))))</f>
        <v/>
      </c>
      <c r="H12" s="13" t="str">
        <f>IF($S$1="NOVOgen WHITE Alternatif",'Standard NW Cl Alt'!H12,(IF($S$1="NOVOgen WHITE Light Alternatif",'Standard NW Li Alt'!H12,IF($S$1="NOVOgen WHITE Cages",'Standard NW Cl Ca'!H12,IF($S$1="NOVOgen WHITE Light Cages",'Standard NW Li Ca'!H12,"")))))</f>
        <v/>
      </c>
      <c r="I12" s="13" t="str">
        <f>IF($S$1="NOVOgen WHITE Alternatif",'Standard NW Cl Alt'!I12,(IF($S$1="NOVOgen WHITE Light Alternatif",'Standard NW Li Alt'!I12,IF($S$1="NOVOgen WHITE Cages",'Standard NW Cl Ca'!I12,IF($S$1="NOVOgen WHITE Light Cages",'Standard NW Li Ca'!I12,"")))))</f>
        <v/>
      </c>
      <c r="J12" s="14" t="str">
        <f>IF($S$1="NOVOgen WHITE Alternatif",'Standard NW Cl Alt'!J12,(IF($S$1="NOVOgen WHITE Light Alternatif",'Standard NW Li Alt'!J12,IF($S$1="NOVOgen WHITE Cages",'Standard NW Cl Ca'!J12,IF($S$1="NOVOgen WHITE Light Cages",'Standard NW Li Ca'!J12,"")))))</f>
        <v/>
      </c>
      <c r="K12" s="15" t="str">
        <f>IF($S$1="NOVOgen WHITE Alternatif",'Standard NW Cl Alt'!K12,(IF($S$1="NOVOgen WHITE Light Alternatif",'Standard NW Li Alt'!K12,IF($S$1="NOVOgen WHITE Cages",'Standard NW Cl Ca'!K12,IF($S$1="NOVOgen WHITE Light Cages",'Standard NW Li Ca'!K12,"")))))</f>
        <v/>
      </c>
      <c r="L12" s="13" t="str">
        <f>IF($S$1="NOVOgen WHITE Alternatif",'Standard NW Cl Alt'!L12,(IF($S$1="NOVOgen WHITE Light Alternatif",'Standard NW Li Alt'!L12,IF($S$1="NOVOgen WHITE Cages",'Standard NW Cl Ca'!L12,IF($S$1="NOVOgen WHITE Light Cages",'Standard NW Li Ca'!L12,"")))))</f>
        <v/>
      </c>
      <c r="N12" s="101">
        <v>4</v>
      </c>
      <c r="O12" s="101" t="str">
        <f>IF($S$1="NOVOgen WHITE Alternatif",'Standard NW Cl Alt'!O12,(IF($S$1="NOVOgen WHITE Light Alternatif",'Standard NW Li Alt'!O12,IF($S$1="NOVOgen WHITE Cages",'Standard NW Cl Ca'!O12,IF($S$1="NOVOgen WHITE Light Cages",'Standard NW Li Ca'!O12,"")))))</f>
        <v/>
      </c>
      <c r="P12" s="102" t="str">
        <f>IF($S$1="NOVOgen WHITE Alternatif",'Standard NW Cl Alt'!P12,(IF($S$1="NOVOgen WHITE Light Alternatif",'Standard NW Li Alt'!P12,IF($S$1="NOVOgen WHITE Cages",'Standard NW Cl Ca'!P12,IF($S$1="NOVOgen WHITE Light Cages",'Standard NW Li Ca'!P12,"")))))</f>
        <v/>
      </c>
      <c r="Q12" s="102" t="str">
        <f>IF($S$1="NOVOgen WHITE Alternatif",'Standard NW Cl Alt'!Q12,(IF($S$1="NOVOgen WHITE Light Alternatif",'Standard NW Li Alt'!Q12,IF($S$1="NOVOgen WHITE Cages",'Standard NW Cl Ca'!Q12,IF($S$1="NOVOgen WHITE Light Cages",'Standard NW Li Ca'!Q12,"")))))</f>
        <v/>
      </c>
    </row>
    <row r="13" spans="1:19" ht="15" customHeight="1" x14ac:dyDescent="0.2">
      <c r="A13" s="10">
        <v>23</v>
      </c>
      <c r="B13" s="13" t="str">
        <f>IF($S$1="NOVOgen WHITE Alternatif",'Standard NW Cl Alt'!B13,(IF($S$1="NOVOgen WHITE Light Alternatif",'Standard NW Li Alt'!B13,IF($S$1="NOVOgen WHITE Cages",'Standard NW Cl Ca'!B13,IF($S$1="NOVOgen WHITE Light Cages",'Standard NW Li Ca'!B13,"")))))</f>
        <v/>
      </c>
      <c r="C13" s="13" t="str">
        <f>IF($S$1="NOVOgen WHITE Alternatif",'Standard NW Cl Alt'!C13,(IF($S$1="NOVOgen WHITE Light Alternatif",'Standard NW Li Alt'!C13,IF($S$1="NOVOgen WHITE Cages",'Standard NW Cl Ca'!C13,IF($S$1="NOVOgen WHITE Light Cages",'Standard NW Li Ca'!C13,"")))))</f>
        <v/>
      </c>
      <c r="D13" s="13" t="str">
        <f>IF($S$1="NOVOgen WHITE Alternatif",'Standard NW Cl Alt'!D13,(IF($S$1="NOVOgen WHITE Light Alternatif",'Standard NW Li Alt'!D13,IF($S$1="NOVOgen WHITE Cages",'Standard NW Cl Ca'!D13,IF($S$1="NOVOgen WHITE Light Cages",'Standard NW Li Ca'!D13,"")))))</f>
        <v/>
      </c>
      <c r="E13" s="14" t="str">
        <f>IF($S$1="NOVOgen WHITE Alternatif",'Standard NW Cl Alt'!E13,(IF($S$1="NOVOgen WHITE Light Alternatif",'Standard NW Li Alt'!E13,IF($S$1="NOVOgen WHITE Cages",'Standard NW Cl Ca'!E13,IF($S$1="NOVOgen WHITE Light Cages",'Standard NW Li Ca'!E13,"")))))</f>
        <v/>
      </c>
      <c r="F13" s="13" t="str">
        <f>IF($S$1="NOVOgen WHITE Alternatif",'Standard NW Cl Alt'!F13,(IF($S$1="NOVOgen WHITE Light Alternatif",'Standard NW Li Alt'!F13,IF($S$1="NOVOgen WHITE Cages",'Standard NW Cl Ca'!F13,IF($S$1="NOVOgen WHITE Light Cages",'Standard NW Li Ca'!F13,"")))))</f>
        <v/>
      </c>
      <c r="G13" s="14" t="str">
        <f>IF($S$1="NOVOgen WHITE Alternatif",'Standard NW Cl Alt'!G13,(IF($S$1="NOVOgen WHITE Light Alternatif",'Standard NW Li Alt'!G13,IF($S$1="NOVOgen WHITE Cages",'Standard NW Cl Ca'!G13,IF($S$1="NOVOgen WHITE Light Cages",'Standard NW Li Ca'!G13,"")))))</f>
        <v/>
      </c>
      <c r="H13" s="13" t="str">
        <f>IF($S$1="NOVOgen WHITE Alternatif",'Standard NW Cl Alt'!H13,(IF($S$1="NOVOgen WHITE Light Alternatif",'Standard NW Li Alt'!H13,IF($S$1="NOVOgen WHITE Cages",'Standard NW Cl Ca'!H13,IF($S$1="NOVOgen WHITE Light Cages",'Standard NW Li Ca'!H13,"")))))</f>
        <v/>
      </c>
      <c r="I13" s="13" t="str">
        <f>IF($S$1="NOVOgen WHITE Alternatif",'Standard NW Cl Alt'!I13,(IF($S$1="NOVOgen WHITE Light Alternatif",'Standard NW Li Alt'!I13,IF($S$1="NOVOgen WHITE Cages",'Standard NW Cl Ca'!I13,IF($S$1="NOVOgen WHITE Light Cages",'Standard NW Li Ca'!I13,"")))))</f>
        <v/>
      </c>
      <c r="J13" s="14" t="str">
        <f>IF($S$1="NOVOgen WHITE Alternatif",'Standard NW Cl Alt'!J13,(IF($S$1="NOVOgen WHITE Light Alternatif",'Standard NW Li Alt'!J13,IF($S$1="NOVOgen WHITE Cages",'Standard NW Cl Ca'!J13,IF($S$1="NOVOgen WHITE Light Cages",'Standard NW Li Ca'!J13,"")))))</f>
        <v/>
      </c>
      <c r="K13" s="15" t="str">
        <f>IF($S$1="NOVOgen WHITE Alternatif",'Standard NW Cl Alt'!K13,(IF($S$1="NOVOgen WHITE Light Alternatif",'Standard NW Li Alt'!K13,IF($S$1="NOVOgen WHITE Cages",'Standard NW Cl Ca'!K13,IF($S$1="NOVOgen WHITE Light Cages",'Standard NW Li Ca'!K13,"")))))</f>
        <v/>
      </c>
      <c r="L13" s="13" t="str">
        <f>IF($S$1="NOVOgen WHITE Alternatif",'Standard NW Cl Alt'!L13,(IF($S$1="NOVOgen WHITE Light Alternatif",'Standard NW Li Alt'!L13,IF($S$1="NOVOgen WHITE Cages",'Standard NW Cl Ca'!L13,IF($S$1="NOVOgen WHITE Light Cages",'Standard NW Li Ca'!L13,"")))))</f>
        <v/>
      </c>
      <c r="N13" s="101">
        <v>5</v>
      </c>
      <c r="O13" s="101" t="str">
        <f>IF($S$1="NOVOgen WHITE Alternatif",'Standard NW Cl Alt'!O13,(IF($S$1="NOVOgen WHITE Light Alternatif",'Standard NW Li Alt'!O13,IF($S$1="NOVOgen WHITE Cages",'Standard NW Cl Ca'!O13,IF($S$1="NOVOgen WHITE Light Cages",'Standard NW Li Ca'!O13,"")))))</f>
        <v/>
      </c>
      <c r="P13" s="102" t="str">
        <f>IF($S$1="NOVOgen WHITE Alternatif",'Standard NW Cl Alt'!P13,(IF($S$1="NOVOgen WHITE Light Alternatif",'Standard NW Li Alt'!P13,IF($S$1="NOVOgen WHITE Cages",'Standard NW Cl Ca'!P13,IF($S$1="NOVOgen WHITE Light Cages",'Standard NW Li Ca'!P13,"")))))</f>
        <v/>
      </c>
      <c r="Q13" s="102" t="str">
        <f>IF($S$1="NOVOgen WHITE Alternatif",'Standard NW Cl Alt'!Q13,(IF($S$1="NOVOgen WHITE Light Alternatif",'Standard NW Li Alt'!Q13,IF($S$1="NOVOgen WHITE Cages",'Standard NW Cl Ca'!Q13,IF($S$1="NOVOgen WHITE Light Cages",'Standard NW Li Ca'!Q13,"")))))</f>
        <v/>
      </c>
    </row>
    <row r="14" spans="1:19" ht="15" customHeight="1" x14ac:dyDescent="0.2">
      <c r="A14" s="16">
        <v>24</v>
      </c>
      <c r="B14" s="17" t="str">
        <f>IF($S$1="NOVOgen WHITE Alternatif",'Standard NW Cl Alt'!B14,(IF($S$1="NOVOgen WHITE Light Alternatif",'Standard NW Li Alt'!B14,IF($S$1="NOVOgen WHITE Cages",'Standard NW Cl Ca'!B14,IF($S$1="NOVOgen WHITE Light Cages",'Standard NW Li Ca'!B14,"")))))</f>
        <v/>
      </c>
      <c r="C14" s="17" t="str">
        <f>IF($S$1="NOVOgen WHITE Alternatif",'Standard NW Cl Alt'!C14,(IF($S$1="NOVOgen WHITE Light Alternatif",'Standard NW Li Alt'!C14,IF($S$1="NOVOgen WHITE Cages",'Standard NW Cl Ca'!C14,IF($S$1="NOVOgen WHITE Light Cages",'Standard NW Li Ca'!C14,"")))))</f>
        <v/>
      </c>
      <c r="D14" s="17" t="str">
        <f>IF($S$1="NOVOgen WHITE Alternatif",'Standard NW Cl Alt'!D14,(IF($S$1="NOVOgen WHITE Light Alternatif",'Standard NW Li Alt'!D14,IF($S$1="NOVOgen WHITE Cages",'Standard NW Cl Ca'!D14,IF($S$1="NOVOgen WHITE Light Cages",'Standard NW Li Ca'!D14,"")))))</f>
        <v/>
      </c>
      <c r="E14" s="18" t="str">
        <f>IF($S$1="NOVOgen WHITE Alternatif",'Standard NW Cl Alt'!E14,(IF($S$1="NOVOgen WHITE Light Alternatif",'Standard NW Li Alt'!E14,IF($S$1="NOVOgen WHITE Cages",'Standard NW Cl Ca'!E14,IF($S$1="NOVOgen WHITE Light Cages",'Standard NW Li Ca'!E14,"")))))</f>
        <v/>
      </c>
      <c r="F14" s="17" t="str">
        <f>IF($S$1="NOVOgen WHITE Alternatif",'Standard NW Cl Alt'!F14,(IF($S$1="NOVOgen WHITE Light Alternatif",'Standard NW Li Alt'!F14,IF($S$1="NOVOgen WHITE Cages",'Standard NW Cl Ca'!F14,IF($S$1="NOVOgen WHITE Light Cages",'Standard NW Li Ca'!F14,"")))))</f>
        <v/>
      </c>
      <c r="G14" s="18" t="str">
        <f>IF($S$1="NOVOgen WHITE Alternatif",'Standard NW Cl Alt'!G14,(IF($S$1="NOVOgen WHITE Light Alternatif",'Standard NW Li Alt'!G14,IF($S$1="NOVOgen WHITE Cages",'Standard NW Cl Ca'!G14,IF($S$1="NOVOgen WHITE Light Cages",'Standard NW Li Ca'!G14,"")))))</f>
        <v/>
      </c>
      <c r="H14" s="17" t="str">
        <f>IF($S$1="NOVOgen WHITE Alternatif",'Standard NW Cl Alt'!H14,(IF($S$1="NOVOgen WHITE Light Alternatif",'Standard NW Li Alt'!H14,IF($S$1="NOVOgen WHITE Cages",'Standard NW Cl Ca'!H14,IF($S$1="NOVOgen WHITE Light Cages",'Standard NW Li Ca'!H14,"")))))</f>
        <v/>
      </c>
      <c r="I14" s="17" t="str">
        <f>IF($S$1="NOVOgen WHITE Alternatif",'Standard NW Cl Alt'!I14,(IF($S$1="NOVOgen WHITE Light Alternatif",'Standard NW Li Alt'!I14,IF($S$1="NOVOgen WHITE Cages",'Standard NW Cl Ca'!I14,IF($S$1="NOVOgen WHITE Light Cages",'Standard NW Li Ca'!I14,"")))))</f>
        <v/>
      </c>
      <c r="J14" s="18" t="str">
        <f>IF($S$1="NOVOgen WHITE Alternatif",'Standard NW Cl Alt'!J14,(IF($S$1="NOVOgen WHITE Light Alternatif",'Standard NW Li Alt'!J14,IF($S$1="NOVOgen WHITE Cages",'Standard NW Cl Ca'!J14,IF($S$1="NOVOgen WHITE Light Cages",'Standard NW Li Ca'!J14,"")))))</f>
        <v/>
      </c>
      <c r="K14" s="19" t="str">
        <f>IF($S$1="NOVOgen WHITE Alternatif",'Standard NW Cl Alt'!K14,(IF($S$1="NOVOgen WHITE Light Alternatif",'Standard NW Li Alt'!K14,IF($S$1="NOVOgen WHITE Cages",'Standard NW Cl Ca'!K14,IF($S$1="NOVOgen WHITE Light Cages",'Standard NW Li Ca'!K14,"")))))</f>
        <v/>
      </c>
      <c r="L14" s="17" t="str">
        <f>IF($S$1="NOVOgen WHITE Alternatif",'Standard NW Cl Alt'!L14,(IF($S$1="NOVOgen WHITE Light Alternatif",'Standard NW Li Alt'!L14,IF($S$1="NOVOgen WHITE Cages",'Standard NW Cl Ca'!L14,IF($S$1="NOVOgen WHITE Light Cages",'Standard NW Li Ca'!L14,"")))))</f>
        <v/>
      </c>
      <c r="N14" s="101">
        <v>6</v>
      </c>
      <c r="O14" s="101" t="str">
        <f>IF($S$1="NOVOgen WHITE Alternatif",'Standard NW Cl Alt'!O14,(IF($S$1="NOVOgen WHITE Light Alternatif",'Standard NW Li Alt'!O14,IF($S$1="NOVOgen WHITE Cages",'Standard NW Cl Ca'!O14,IF($S$1="NOVOgen WHITE Light Cages",'Standard NW Li Ca'!O14,"")))))</f>
        <v/>
      </c>
      <c r="P14" s="102" t="str">
        <f>IF($S$1="NOVOgen WHITE Alternatif",'Standard NW Cl Alt'!P14,(IF($S$1="NOVOgen WHITE Light Alternatif",'Standard NW Li Alt'!P14,IF($S$1="NOVOgen WHITE Cages",'Standard NW Cl Ca'!P14,IF($S$1="NOVOgen WHITE Light Cages",'Standard NW Li Ca'!P14,"")))))</f>
        <v/>
      </c>
      <c r="Q14" s="102" t="str">
        <f>IF($S$1="NOVOgen WHITE Alternatif",'Standard NW Cl Alt'!Q14,(IF($S$1="NOVOgen WHITE Light Alternatif",'Standard NW Li Alt'!Q14,IF($S$1="NOVOgen WHITE Cages",'Standard NW Cl Ca'!Q14,IF($S$1="NOVOgen WHITE Light Cages",'Standard NW Li Ca'!Q14,"")))))</f>
        <v/>
      </c>
    </row>
    <row r="15" spans="1:19" ht="15" customHeight="1" x14ac:dyDescent="0.2">
      <c r="A15" s="10">
        <v>25</v>
      </c>
      <c r="B15" s="13" t="str">
        <f>IF($S$1="NOVOgen WHITE Alternatif",'Standard NW Cl Alt'!B15,(IF($S$1="NOVOgen WHITE Light Alternatif",'Standard NW Li Alt'!B15,IF($S$1="NOVOgen WHITE Cages",'Standard NW Cl Ca'!B15,IF($S$1="NOVOgen WHITE Light Cages",'Standard NW Li Ca'!B15,"")))))</f>
        <v/>
      </c>
      <c r="C15" s="13" t="str">
        <f>IF($S$1="NOVOgen WHITE Alternatif",'Standard NW Cl Alt'!C15,(IF($S$1="NOVOgen WHITE Light Alternatif",'Standard NW Li Alt'!C15,IF($S$1="NOVOgen WHITE Cages",'Standard NW Cl Ca'!C15,IF($S$1="NOVOgen WHITE Light Cages",'Standard NW Li Ca'!C15,"")))))</f>
        <v/>
      </c>
      <c r="D15" s="13" t="str">
        <f>IF($S$1="NOVOgen WHITE Alternatif",'Standard NW Cl Alt'!D15,(IF($S$1="NOVOgen WHITE Light Alternatif",'Standard NW Li Alt'!D15,IF($S$1="NOVOgen WHITE Cages",'Standard NW Cl Ca'!D15,IF($S$1="NOVOgen WHITE Light Cages",'Standard NW Li Ca'!D15,"")))))</f>
        <v/>
      </c>
      <c r="E15" s="14" t="str">
        <f>IF($S$1="NOVOgen WHITE Alternatif",'Standard NW Cl Alt'!E15,(IF($S$1="NOVOgen WHITE Light Alternatif",'Standard NW Li Alt'!E15,IF($S$1="NOVOgen WHITE Cages",'Standard NW Cl Ca'!E15,IF($S$1="NOVOgen WHITE Light Cages",'Standard NW Li Ca'!E15,"")))))</f>
        <v/>
      </c>
      <c r="F15" s="13" t="str">
        <f>IF($S$1="NOVOgen WHITE Alternatif",'Standard NW Cl Alt'!F15,(IF($S$1="NOVOgen WHITE Light Alternatif",'Standard NW Li Alt'!F15,IF($S$1="NOVOgen WHITE Cages",'Standard NW Cl Ca'!F15,IF($S$1="NOVOgen WHITE Light Cages",'Standard NW Li Ca'!F15,"")))))</f>
        <v/>
      </c>
      <c r="G15" s="14" t="str">
        <f>IF($S$1="NOVOgen WHITE Alternatif",'Standard NW Cl Alt'!G15,(IF($S$1="NOVOgen WHITE Light Alternatif",'Standard NW Li Alt'!G15,IF($S$1="NOVOgen WHITE Cages",'Standard NW Cl Ca'!G15,IF($S$1="NOVOgen WHITE Light Cages",'Standard NW Li Ca'!G15,"")))))</f>
        <v/>
      </c>
      <c r="H15" s="13" t="str">
        <f>IF($S$1="NOVOgen WHITE Alternatif",'Standard NW Cl Alt'!H15,(IF($S$1="NOVOgen WHITE Light Alternatif",'Standard NW Li Alt'!H15,IF($S$1="NOVOgen WHITE Cages",'Standard NW Cl Ca'!H15,IF($S$1="NOVOgen WHITE Light Cages",'Standard NW Li Ca'!H15,"")))))</f>
        <v/>
      </c>
      <c r="I15" s="13" t="str">
        <f>IF($S$1="NOVOgen WHITE Alternatif",'Standard NW Cl Alt'!I15,(IF($S$1="NOVOgen WHITE Light Alternatif",'Standard NW Li Alt'!I15,IF($S$1="NOVOgen WHITE Cages",'Standard NW Cl Ca'!I15,IF($S$1="NOVOgen WHITE Light Cages",'Standard NW Li Ca'!I15,"")))))</f>
        <v/>
      </c>
      <c r="J15" s="14" t="str">
        <f>IF($S$1="NOVOgen WHITE Alternatif",'Standard NW Cl Alt'!J15,(IF($S$1="NOVOgen WHITE Light Alternatif",'Standard NW Li Alt'!J15,IF($S$1="NOVOgen WHITE Cages",'Standard NW Cl Ca'!J15,IF($S$1="NOVOgen WHITE Light Cages",'Standard NW Li Ca'!J15,"")))))</f>
        <v/>
      </c>
      <c r="K15" s="15" t="str">
        <f>IF($S$1="NOVOgen WHITE Alternatif",'Standard NW Cl Alt'!K15,(IF($S$1="NOVOgen WHITE Light Alternatif",'Standard NW Li Alt'!K15,IF($S$1="NOVOgen WHITE Cages",'Standard NW Cl Ca'!K15,IF($S$1="NOVOgen WHITE Light Cages",'Standard NW Li Ca'!K15,"")))))</f>
        <v/>
      </c>
      <c r="L15" s="13" t="str">
        <f>IF($S$1="NOVOgen WHITE Alternatif",'Standard NW Cl Alt'!L15,(IF($S$1="NOVOgen WHITE Light Alternatif",'Standard NW Li Alt'!L15,IF($S$1="NOVOgen WHITE Cages",'Standard NW Cl Ca'!L15,IF($S$1="NOVOgen WHITE Light Cages",'Standard NW Li Ca'!L15,"")))))</f>
        <v/>
      </c>
      <c r="N15" s="101">
        <v>7</v>
      </c>
      <c r="O15" s="101" t="str">
        <f>IF($S$1="NOVOgen WHITE Alternatif",'Standard NW Cl Alt'!O15,(IF($S$1="NOVOgen WHITE Light Alternatif",'Standard NW Li Alt'!O15,IF($S$1="NOVOgen WHITE Cages",'Standard NW Cl Ca'!O15,IF($S$1="NOVOgen WHITE Light Cages",'Standard NW Li Ca'!O15,"")))))</f>
        <v/>
      </c>
      <c r="P15" s="102" t="str">
        <f>IF($S$1="NOVOgen WHITE Alternatif",'Standard NW Cl Alt'!P15,(IF($S$1="NOVOgen WHITE Light Alternatif",'Standard NW Li Alt'!P15,IF($S$1="NOVOgen WHITE Cages",'Standard NW Cl Ca'!P15,IF($S$1="NOVOgen WHITE Light Cages",'Standard NW Li Ca'!P15,"")))))</f>
        <v/>
      </c>
      <c r="Q15" s="102" t="str">
        <f>IF($S$1="NOVOgen WHITE Alternatif",'Standard NW Cl Alt'!Q15,(IF($S$1="NOVOgen WHITE Light Alternatif",'Standard NW Li Alt'!Q15,IF($S$1="NOVOgen WHITE Cages",'Standard NW Cl Ca'!Q15,IF($S$1="NOVOgen WHITE Light Cages",'Standard NW Li Ca'!Q15,"")))))</f>
        <v/>
      </c>
    </row>
    <row r="16" spans="1:19" ht="15" customHeight="1" x14ac:dyDescent="0.2">
      <c r="A16" s="10">
        <v>26</v>
      </c>
      <c r="B16" s="13" t="str">
        <f>IF($S$1="NOVOgen WHITE Alternatif",'Standard NW Cl Alt'!B16,(IF($S$1="NOVOgen WHITE Light Alternatif",'Standard NW Li Alt'!B16,IF($S$1="NOVOgen WHITE Cages",'Standard NW Cl Ca'!B16,IF($S$1="NOVOgen WHITE Light Cages",'Standard NW Li Ca'!B16,"")))))</f>
        <v/>
      </c>
      <c r="C16" s="13" t="str">
        <f>IF($S$1="NOVOgen WHITE Alternatif",'Standard NW Cl Alt'!C16,(IF($S$1="NOVOgen WHITE Light Alternatif",'Standard NW Li Alt'!C16,IF($S$1="NOVOgen WHITE Cages",'Standard NW Cl Ca'!C16,IF($S$1="NOVOgen WHITE Light Cages",'Standard NW Li Ca'!C16,"")))))</f>
        <v/>
      </c>
      <c r="D16" s="13" t="str">
        <f>IF($S$1="NOVOgen WHITE Alternatif",'Standard NW Cl Alt'!D16,(IF($S$1="NOVOgen WHITE Light Alternatif",'Standard NW Li Alt'!D16,IF($S$1="NOVOgen WHITE Cages",'Standard NW Cl Ca'!D16,IF($S$1="NOVOgen WHITE Light Cages",'Standard NW Li Ca'!D16,"")))))</f>
        <v/>
      </c>
      <c r="E16" s="14" t="str">
        <f>IF($S$1="NOVOgen WHITE Alternatif",'Standard NW Cl Alt'!E16,(IF($S$1="NOVOgen WHITE Light Alternatif",'Standard NW Li Alt'!E16,IF($S$1="NOVOgen WHITE Cages",'Standard NW Cl Ca'!E16,IF($S$1="NOVOgen WHITE Light Cages",'Standard NW Li Ca'!E16,"")))))</f>
        <v/>
      </c>
      <c r="F16" s="13" t="str">
        <f>IF($S$1="NOVOgen WHITE Alternatif",'Standard NW Cl Alt'!F16,(IF($S$1="NOVOgen WHITE Light Alternatif",'Standard NW Li Alt'!F16,IF($S$1="NOVOgen WHITE Cages",'Standard NW Cl Ca'!F16,IF($S$1="NOVOgen WHITE Light Cages",'Standard NW Li Ca'!F16,"")))))</f>
        <v/>
      </c>
      <c r="G16" s="14" t="str">
        <f>IF($S$1="NOVOgen WHITE Alternatif",'Standard NW Cl Alt'!G16,(IF($S$1="NOVOgen WHITE Light Alternatif",'Standard NW Li Alt'!G16,IF($S$1="NOVOgen WHITE Cages",'Standard NW Cl Ca'!G16,IF($S$1="NOVOgen WHITE Light Cages",'Standard NW Li Ca'!G16,"")))))</f>
        <v/>
      </c>
      <c r="H16" s="13" t="str">
        <f>IF($S$1="NOVOgen WHITE Alternatif",'Standard NW Cl Alt'!H16,(IF($S$1="NOVOgen WHITE Light Alternatif",'Standard NW Li Alt'!H16,IF($S$1="NOVOgen WHITE Cages",'Standard NW Cl Ca'!H16,IF($S$1="NOVOgen WHITE Light Cages",'Standard NW Li Ca'!H16,"")))))</f>
        <v/>
      </c>
      <c r="I16" s="13" t="str">
        <f>IF($S$1="NOVOgen WHITE Alternatif",'Standard NW Cl Alt'!I16,(IF($S$1="NOVOgen WHITE Light Alternatif",'Standard NW Li Alt'!I16,IF($S$1="NOVOgen WHITE Cages",'Standard NW Cl Ca'!I16,IF($S$1="NOVOgen WHITE Light Cages",'Standard NW Li Ca'!I16,"")))))</f>
        <v/>
      </c>
      <c r="J16" s="14" t="str">
        <f>IF($S$1="NOVOgen WHITE Alternatif",'Standard NW Cl Alt'!J16,(IF($S$1="NOVOgen WHITE Light Alternatif",'Standard NW Li Alt'!J16,IF($S$1="NOVOgen WHITE Cages",'Standard NW Cl Ca'!J16,IF($S$1="NOVOgen WHITE Light Cages",'Standard NW Li Ca'!J16,"")))))</f>
        <v/>
      </c>
      <c r="K16" s="15" t="str">
        <f>IF($S$1="NOVOgen WHITE Alternatif",'Standard NW Cl Alt'!K16,(IF($S$1="NOVOgen WHITE Light Alternatif",'Standard NW Li Alt'!K16,IF($S$1="NOVOgen WHITE Cages",'Standard NW Cl Ca'!K16,IF($S$1="NOVOgen WHITE Light Cages",'Standard NW Li Ca'!K16,"")))))</f>
        <v/>
      </c>
      <c r="L16" s="13" t="str">
        <f>IF($S$1="NOVOgen WHITE Alternatif",'Standard NW Cl Alt'!L16,(IF($S$1="NOVOgen WHITE Light Alternatif",'Standard NW Li Alt'!L16,IF($S$1="NOVOgen WHITE Cages",'Standard NW Cl Ca'!L16,IF($S$1="NOVOgen WHITE Light Cages",'Standard NW Li Ca'!L16,"")))))</f>
        <v/>
      </c>
      <c r="N16" s="101">
        <v>8</v>
      </c>
      <c r="O16" s="101" t="str">
        <f>IF($S$1="NOVOgen WHITE Alternatif",'Standard NW Cl Alt'!O16,(IF($S$1="NOVOgen WHITE Light Alternatif",'Standard NW Li Alt'!O16,IF($S$1="NOVOgen WHITE Cages",'Standard NW Cl Ca'!O16,IF($S$1="NOVOgen WHITE Light Cages",'Standard NW Li Ca'!O16,"")))))</f>
        <v/>
      </c>
      <c r="P16" s="102" t="str">
        <f>IF($S$1="NOVOgen WHITE Alternatif",'Standard NW Cl Alt'!P16,(IF($S$1="NOVOgen WHITE Light Alternatif",'Standard NW Li Alt'!P16,IF($S$1="NOVOgen WHITE Cages",'Standard NW Cl Ca'!P16,IF($S$1="NOVOgen WHITE Light Cages",'Standard NW Li Ca'!P16,"")))))</f>
        <v/>
      </c>
      <c r="Q16" s="102" t="str">
        <f>IF($S$1="NOVOgen WHITE Alternatif",'Standard NW Cl Alt'!Q16,(IF($S$1="NOVOgen WHITE Light Alternatif",'Standard NW Li Alt'!Q16,IF($S$1="NOVOgen WHITE Cages",'Standard NW Cl Ca'!Q16,IF($S$1="NOVOgen WHITE Light Cages",'Standard NW Li Ca'!Q16,"")))))</f>
        <v/>
      </c>
    </row>
    <row r="17" spans="1:17" ht="15" customHeight="1" x14ac:dyDescent="0.2">
      <c r="A17" s="10">
        <v>27</v>
      </c>
      <c r="B17" s="13" t="str">
        <f>IF($S$1="NOVOgen WHITE Alternatif",'Standard NW Cl Alt'!B17,(IF($S$1="NOVOgen WHITE Light Alternatif",'Standard NW Li Alt'!B17,IF($S$1="NOVOgen WHITE Cages",'Standard NW Cl Ca'!B17,IF($S$1="NOVOgen WHITE Light Cages",'Standard NW Li Ca'!B17,"")))))</f>
        <v/>
      </c>
      <c r="C17" s="13" t="str">
        <f>IF($S$1="NOVOgen WHITE Alternatif",'Standard NW Cl Alt'!C17,(IF($S$1="NOVOgen WHITE Light Alternatif",'Standard NW Li Alt'!C17,IF($S$1="NOVOgen WHITE Cages",'Standard NW Cl Ca'!C17,IF($S$1="NOVOgen WHITE Light Cages",'Standard NW Li Ca'!C17,"")))))</f>
        <v/>
      </c>
      <c r="D17" s="13" t="str">
        <f>IF($S$1="NOVOgen WHITE Alternatif",'Standard NW Cl Alt'!D17,(IF($S$1="NOVOgen WHITE Light Alternatif",'Standard NW Li Alt'!D17,IF($S$1="NOVOgen WHITE Cages",'Standard NW Cl Ca'!D17,IF($S$1="NOVOgen WHITE Light Cages",'Standard NW Li Ca'!D17,"")))))</f>
        <v/>
      </c>
      <c r="E17" s="14" t="str">
        <f>IF($S$1="NOVOgen WHITE Alternatif",'Standard NW Cl Alt'!E17,(IF($S$1="NOVOgen WHITE Light Alternatif",'Standard NW Li Alt'!E17,IF($S$1="NOVOgen WHITE Cages",'Standard NW Cl Ca'!E17,IF($S$1="NOVOgen WHITE Light Cages",'Standard NW Li Ca'!E17,"")))))</f>
        <v/>
      </c>
      <c r="F17" s="13" t="str">
        <f>IF($S$1="NOVOgen WHITE Alternatif",'Standard NW Cl Alt'!F17,(IF($S$1="NOVOgen WHITE Light Alternatif",'Standard NW Li Alt'!F17,IF($S$1="NOVOgen WHITE Cages",'Standard NW Cl Ca'!F17,IF($S$1="NOVOgen WHITE Light Cages",'Standard NW Li Ca'!F17,"")))))</f>
        <v/>
      </c>
      <c r="G17" s="14" t="str">
        <f>IF($S$1="NOVOgen WHITE Alternatif",'Standard NW Cl Alt'!G17,(IF($S$1="NOVOgen WHITE Light Alternatif",'Standard NW Li Alt'!G17,IF($S$1="NOVOgen WHITE Cages",'Standard NW Cl Ca'!G17,IF($S$1="NOVOgen WHITE Light Cages",'Standard NW Li Ca'!G17,"")))))</f>
        <v/>
      </c>
      <c r="H17" s="13" t="str">
        <f>IF($S$1="NOVOgen WHITE Alternatif",'Standard NW Cl Alt'!H17,(IF($S$1="NOVOgen WHITE Light Alternatif",'Standard NW Li Alt'!H17,IF($S$1="NOVOgen WHITE Cages",'Standard NW Cl Ca'!H17,IF($S$1="NOVOgen WHITE Light Cages",'Standard NW Li Ca'!H17,"")))))</f>
        <v/>
      </c>
      <c r="I17" s="13" t="str">
        <f>IF($S$1="NOVOgen WHITE Alternatif",'Standard NW Cl Alt'!I17,(IF($S$1="NOVOgen WHITE Light Alternatif",'Standard NW Li Alt'!I17,IF($S$1="NOVOgen WHITE Cages",'Standard NW Cl Ca'!I17,IF($S$1="NOVOgen WHITE Light Cages",'Standard NW Li Ca'!I17,"")))))</f>
        <v/>
      </c>
      <c r="J17" s="14" t="str">
        <f>IF($S$1="NOVOgen WHITE Alternatif",'Standard NW Cl Alt'!J17,(IF($S$1="NOVOgen WHITE Light Alternatif",'Standard NW Li Alt'!J17,IF($S$1="NOVOgen WHITE Cages",'Standard NW Cl Ca'!J17,IF($S$1="NOVOgen WHITE Light Cages",'Standard NW Li Ca'!J17,"")))))</f>
        <v/>
      </c>
      <c r="K17" s="15" t="str">
        <f>IF($S$1="NOVOgen WHITE Alternatif",'Standard NW Cl Alt'!K17,(IF($S$1="NOVOgen WHITE Light Alternatif",'Standard NW Li Alt'!K17,IF($S$1="NOVOgen WHITE Cages",'Standard NW Cl Ca'!K17,IF($S$1="NOVOgen WHITE Light Cages",'Standard NW Li Ca'!K17,"")))))</f>
        <v/>
      </c>
      <c r="L17" s="13" t="str">
        <f>IF($S$1="NOVOgen WHITE Alternatif",'Standard NW Cl Alt'!L17,(IF($S$1="NOVOgen WHITE Light Alternatif",'Standard NW Li Alt'!L17,IF($S$1="NOVOgen WHITE Cages",'Standard NW Cl Ca'!L17,IF($S$1="NOVOgen WHITE Light Cages",'Standard NW Li Ca'!L17,"")))))</f>
        <v/>
      </c>
      <c r="N17" s="101">
        <v>9</v>
      </c>
      <c r="O17" s="101" t="str">
        <f>IF($S$1="NOVOgen WHITE Alternatif",'Standard NW Cl Alt'!O17,(IF($S$1="NOVOgen WHITE Light Alternatif",'Standard NW Li Alt'!O17,IF($S$1="NOVOgen WHITE Cages",'Standard NW Cl Ca'!O17,IF($S$1="NOVOgen WHITE Light Cages",'Standard NW Li Ca'!O17,"")))))</f>
        <v/>
      </c>
      <c r="P17" s="102" t="str">
        <f>IF($S$1="NOVOgen WHITE Alternatif",'Standard NW Cl Alt'!P17,(IF($S$1="NOVOgen WHITE Light Alternatif",'Standard NW Li Alt'!P17,IF($S$1="NOVOgen WHITE Cages",'Standard NW Cl Ca'!P17,IF($S$1="NOVOgen WHITE Light Cages",'Standard NW Li Ca'!P17,"")))))</f>
        <v/>
      </c>
      <c r="Q17" s="102" t="str">
        <f>IF($S$1="NOVOgen WHITE Alternatif",'Standard NW Cl Alt'!Q17,(IF($S$1="NOVOgen WHITE Light Alternatif",'Standard NW Li Alt'!Q17,IF($S$1="NOVOgen WHITE Cages",'Standard NW Cl Ca'!Q17,IF($S$1="NOVOgen WHITE Light Cages",'Standard NW Li Ca'!Q17,"")))))</f>
        <v/>
      </c>
    </row>
    <row r="18" spans="1:17" ht="15" customHeight="1" x14ac:dyDescent="0.2">
      <c r="A18" s="16">
        <v>28</v>
      </c>
      <c r="B18" s="17" t="str">
        <f>IF($S$1="NOVOgen WHITE Alternatif",'Standard NW Cl Alt'!B18,(IF($S$1="NOVOgen WHITE Light Alternatif",'Standard NW Li Alt'!B18,IF($S$1="NOVOgen WHITE Cages",'Standard NW Cl Ca'!B18,IF($S$1="NOVOgen WHITE Light Cages",'Standard NW Li Ca'!B18,"")))))</f>
        <v/>
      </c>
      <c r="C18" s="17" t="str">
        <f>IF($S$1="NOVOgen WHITE Alternatif",'Standard NW Cl Alt'!C18,(IF($S$1="NOVOgen WHITE Light Alternatif",'Standard NW Li Alt'!C18,IF($S$1="NOVOgen WHITE Cages",'Standard NW Cl Ca'!C18,IF($S$1="NOVOgen WHITE Light Cages",'Standard NW Li Ca'!C18,"")))))</f>
        <v/>
      </c>
      <c r="D18" s="17" t="str">
        <f>IF($S$1="NOVOgen WHITE Alternatif",'Standard NW Cl Alt'!D18,(IF($S$1="NOVOgen WHITE Light Alternatif",'Standard NW Li Alt'!D18,IF($S$1="NOVOgen WHITE Cages",'Standard NW Cl Ca'!D18,IF($S$1="NOVOgen WHITE Light Cages",'Standard NW Li Ca'!D18,"")))))</f>
        <v/>
      </c>
      <c r="E18" s="18" t="str">
        <f>IF($S$1="NOVOgen WHITE Alternatif",'Standard NW Cl Alt'!E18,(IF($S$1="NOVOgen WHITE Light Alternatif",'Standard NW Li Alt'!E18,IF($S$1="NOVOgen WHITE Cages",'Standard NW Cl Ca'!E18,IF($S$1="NOVOgen WHITE Light Cages",'Standard NW Li Ca'!E18,"")))))</f>
        <v/>
      </c>
      <c r="F18" s="17" t="str">
        <f>IF($S$1="NOVOgen WHITE Alternatif",'Standard NW Cl Alt'!F18,(IF($S$1="NOVOgen WHITE Light Alternatif",'Standard NW Li Alt'!F18,IF($S$1="NOVOgen WHITE Cages",'Standard NW Cl Ca'!F18,IF($S$1="NOVOgen WHITE Light Cages",'Standard NW Li Ca'!F18,"")))))</f>
        <v/>
      </c>
      <c r="G18" s="18" t="str">
        <f>IF($S$1="NOVOgen WHITE Alternatif",'Standard NW Cl Alt'!G18,(IF($S$1="NOVOgen WHITE Light Alternatif",'Standard NW Li Alt'!G18,IF($S$1="NOVOgen WHITE Cages",'Standard NW Cl Ca'!G18,IF($S$1="NOVOgen WHITE Light Cages",'Standard NW Li Ca'!G18,"")))))</f>
        <v/>
      </c>
      <c r="H18" s="17" t="str">
        <f>IF($S$1="NOVOgen WHITE Alternatif",'Standard NW Cl Alt'!H18,(IF($S$1="NOVOgen WHITE Light Alternatif",'Standard NW Li Alt'!H18,IF($S$1="NOVOgen WHITE Cages",'Standard NW Cl Ca'!H18,IF($S$1="NOVOgen WHITE Light Cages",'Standard NW Li Ca'!H18,"")))))</f>
        <v/>
      </c>
      <c r="I18" s="17" t="str">
        <f>IF($S$1="NOVOgen WHITE Alternatif",'Standard NW Cl Alt'!I18,(IF($S$1="NOVOgen WHITE Light Alternatif",'Standard NW Li Alt'!I18,IF($S$1="NOVOgen WHITE Cages",'Standard NW Cl Ca'!I18,IF($S$1="NOVOgen WHITE Light Cages",'Standard NW Li Ca'!I18,"")))))</f>
        <v/>
      </c>
      <c r="J18" s="18" t="str">
        <f>IF($S$1="NOVOgen WHITE Alternatif",'Standard NW Cl Alt'!J18,(IF($S$1="NOVOgen WHITE Light Alternatif",'Standard NW Li Alt'!J18,IF($S$1="NOVOgen WHITE Cages",'Standard NW Cl Ca'!J18,IF($S$1="NOVOgen WHITE Light Cages",'Standard NW Li Ca'!J18,"")))))</f>
        <v/>
      </c>
      <c r="K18" s="19" t="str">
        <f>IF($S$1="NOVOgen WHITE Alternatif",'Standard NW Cl Alt'!K18,(IF($S$1="NOVOgen WHITE Light Alternatif",'Standard NW Li Alt'!K18,IF($S$1="NOVOgen WHITE Cages",'Standard NW Cl Ca'!K18,IF($S$1="NOVOgen WHITE Light Cages",'Standard NW Li Ca'!K18,"")))))</f>
        <v/>
      </c>
      <c r="L18" s="17" t="str">
        <f>IF($S$1="NOVOgen WHITE Alternatif",'Standard NW Cl Alt'!L18,(IF($S$1="NOVOgen WHITE Light Alternatif",'Standard NW Li Alt'!L18,IF($S$1="NOVOgen WHITE Cages",'Standard NW Cl Ca'!L18,IF($S$1="NOVOgen WHITE Light Cages",'Standard NW Li Ca'!L18,"")))))</f>
        <v/>
      </c>
      <c r="N18" s="101">
        <v>10</v>
      </c>
      <c r="O18" s="101" t="str">
        <f>IF($S$1="NOVOgen WHITE Alternatif",'Standard NW Cl Alt'!O18,(IF($S$1="NOVOgen WHITE Light Alternatif",'Standard NW Li Alt'!O18,IF($S$1="NOVOgen WHITE Cages",'Standard NW Cl Ca'!O18,IF($S$1="NOVOgen WHITE Light Cages",'Standard NW Li Ca'!O18,"")))))</f>
        <v/>
      </c>
      <c r="P18" s="102" t="str">
        <f>IF($S$1="NOVOgen WHITE Alternatif",'Standard NW Cl Alt'!P18,(IF($S$1="NOVOgen WHITE Light Alternatif",'Standard NW Li Alt'!P18,IF($S$1="NOVOgen WHITE Cages",'Standard NW Cl Ca'!P18,IF($S$1="NOVOgen WHITE Light Cages",'Standard NW Li Ca'!P18,"")))))</f>
        <v/>
      </c>
      <c r="Q18" s="102" t="str">
        <f>IF($S$1="NOVOgen WHITE Alternatif",'Standard NW Cl Alt'!Q18,(IF($S$1="NOVOgen WHITE Light Alternatif",'Standard NW Li Alt'!Q18,IF($S$1="NOVOgen WHITE Cages",'Standard NW Cl Ca'!Q18,IF($S$1="NOVOgen WHITE Light Cages",'Standard NW Li Ca'!Q18,"")))))</f>
        <v/>
      </c>
    </row>
    <row r="19" spans="1:17" ht="15" customHeight="1" x14ac:dyDescent="0.2">
      <c r="A19" s="10">
        <v>29</v>
      </c>
      <c r="B19" s="13" t="str">
        <f>IF($S$1="NOVOgen WHITE Alternatif",'Standard NW Cl Alt'!B19,(IF($S$1="NOVOgen WHITE Light Alternatif",'Standard NW Li Alt'!B19,IF($S$1="NOVOgen WHITE Cages",'Standard NW Cl Ca'!B19,IF($S$1="NOVOgen WHITE Light Cages",'Standard NW Li Ca'!B19,"")))))</f>
        <v/>
      </c>
      <c r="C19" s="13" t="str">
        <f>IF($S$1="NOVOgen WHITE Alternatif",'Standard NW Cl Alt'!C19,(IF($S$1="NOVOgen WHITE Light Alternatif",'Standard NW Li Alt'!C19,IF($S$1="NOVOgen WHITE Cages",'Standard NW Cl Ca'!C19,IF($S$1="NOVOgen WHITE Light Cages",'Standard NW Li Ca'!C19,"")))))</f>
        <v/>
      </c>
      <c r="D19" s="13" t="str">
        <f>IF($S$1="NOVOgen WHITE Alternatif",'Standard NW Cl Alt'!D19,(IF($S$1="NOVOgen WHITE Light Alternatif",'Standard NW Li Alt'!D19,IF($S$1="NOVOgen WHITE Cages",'Standard NW Cl Ca'!D19,IF($S$1="NOVOgen WHITE Light Cages",'Standard NW Li Ca'!D19,"")))))</f>
        <v/>
      </c>
      <c r="E19" s="14" t="str">
        <f>IF($S$1="NOVOgen WHITE Alternatif",'Standard NW Cl Alt'!E19,(IF($S$1="NOVOgen WHITE Light Alternatif",'Standard NW Li Alt'!E19,IF($S$1="NOVOgen WHITE Cages",'Standard NW Cl Ca'!E19,IF($S$1="NOVOgen WHITE Light Cages",'Standard NW Li Ca'!E19,"")))))</f>
        <v/>
      </c>
      <c r="F19" s="13" t="str">
        <f>IF($S$1="NOVOgen WHITE Alternatif",'Standard NW Cl Alt'!F19,(IF($S$1="NOVOgen WHITE Light Alternatif",'Standard NW Li Alt'!F19,IF($S$1="NOVOgen WHITE Cages",'Standard NW Cl Ca'!F19,IF($S$1="NOVOgen WHITE Light Cages",'Standard NW Li Ca'!F19,"")))))</f>
        <v/>
      </c>
      <c r="G19" s="14" t="str">
        <f>IF($S$1="NOVOgen WHITE Alternatif",'Standard NW Cl Alt'!G19,(IF($S$1="NOVOgen WHITE Light Alternatif",'Standard NW Li Alt'!G19,IF($S$1="NOVOgen WHITE Cages",'Standard NW Cl Ca'!G19,IF($S$1="NOVOgen WHITE Light Cages",'Standard NW Li Ca'!G19,"")))))</f>
        <v/>
      </c>
      <c r="H19" s="13" t="str">
        <f>IF($S$1="NOVOgen WHITE Alternatif",'Standard NW Cl Alt'!H19,(IF($S$1="NOVOgen WHITE Light Alternatif",'Standard NW Li Alt'!H19,IF($S$1="NOVOgen WHITE Cages",'Standard NW Cl Ca'!H19,IF($S$1="NOVOgen WHITE Light Cages",'Standard NW Li Ca'!H19,"")))))</f>
        <v/>
      </c>
      <c r="I19" s="13" t="str">
        <f>IF($S$1="NOVOgen WHITE Alternatif",'Standard NW Cl Alt'!I19,(IF($S$1="NOVOgen WHITE Light Alternatif",'Standard NW Li Alt'!I19,IF($S$1="NOVOgen WHITE Cages",'Standard NW Cl Ca'!I19,IF($S$1="NOVOgen WHITE Light Cages",'Standard NW Li Ca'!I19,"")))))</f>
        <v/>
      </c>
      <c r="J19" s="14" t="str">
        <f>IF($S$1="NOVOgen WHITE Alternatif",'Standard NW Cl Alt'!J19,(IF($S$1="NOVOgen WHITE Light Alternatif",'Standard NW Li Alt'!J19,IF($S$1="NOVOgen WHITE Cages",'Standard NW Cl Ca'!J19,IF($S$1="NOVOgen WHITE Light Cages",'Standard NW Li Ca'!J19,"")))))</f>
        <v/>
      </c>
      <c r="K19" s="15" t="str">
        <f>IF($S$1="NOVOgen WHITE Alternatif",'Standard NW Cl Alt'!K19,(IF($S$1="NOVOgen WHITE Light Alternatif",'Standard NW Li Alt'!K19,IF($S$1="NOVOgen WHITE Cages",'Standard NW Cl Ca'!K19,IF($S$1="NOVOgen WHITE Light Cages",'Standard NW Li Ca'!K19,"")))))</f>
        <v/>
      </c>
      <c r="L19" s="13" t="str">
        <f>IF($S$1="NOVOgen WHITE Alternatif",'Standard NW Cl Alt'!L19,(IF($S$1="NOVOgen WHITE Light Alternatif",'Standard NW Li Alt'!L19,IF($S$1="NOVOgen WHITE Cages",'Standard NW Cl Ca'!L19,IF($S$1="NOVOgen WHITE Light Cages",'Standard NW Li Ca'!L19,"")))))</f>
        <v/>
      </c>
      <c r="N19" s="101">
        <v>11</v>
      </c>
      <c r="O19" s="101" t="str">
        <f>IF($S$1="NOVOgen WHITE Alternatif",'Standard NW Cl Alt'!O19,(IF($S$1="NOVOgen WHITE Light Alternatif",'Standard NW Li Alt'!O19,IF($S$1="NOVOgen WHITE Cages",'Standard NW Cl Ca'!O19,IF($S$1="NOVOgen WHITE Light Cages",'Standard NW Li Ca'!O19,"")))))</f>
        <v/>
      </c>
      <c r="P19" s="102" t="str">
        <f>IF($S$1="NOVOgen WHITE Alternatif",'Standard NW Cl Alt'!P19,(IF($S$1="NOVOgen WHITE Light Alternatif",'Standard NW Li Alt'!P19,IF($S$1="NOVOgen WHITE Cages",'Standard NW Cl Ca'!P19,IF($S$1="NOVOgen WHITE Light Cages",'Standard NW Li Ca'!P19,"")))))</f>
        <v/>
      </c>
      <c r="Q19" s="102" t="str">
        <f>IF($S$1="NOVOgen WHITE Alternatif",'Standard NW Cl Alt'!Q19,(IF($S$1="NOVOgen WHITE Light Alternatif",'Standard NW Li Alt'!Q19,IF($S$1="NOVOgen WHITE Cages",'Standard NW Cl Ca'!Q19,IF($S$1="NOVOgen WHITE Light Cages",'Standard NW Li Ca'!Q19,"")))))</f>
        <v/>
      </c>
    </row>
    <row r="20" spans="1:17" ht="15" customHeight="1" x14ac:dyDescent="0.2">
      <c r="A20" s="10">
        <v>30</v>
      </c>
      <c r="B20" s="13" t="str">
        <f>IF($S$1="NOVOgen WHITE Alternatif",'Standard NW Cl Alt'!B20,(IF($S$1="NOVOgen WHITE Light Alternatif",'Standard NW Li Alt'!B20,IF($S$1="NOVOgen WHITE Cages",'Standard NW Cl Ca'!B20,IF($S$1="NOVOgen WHITE Light Cages",'Standard NW Li Ca'!B20,"")))))</f>
        <v/>
      </c>
      <c r="C20" s="13" t="str">
        <f>IF($S$1="NOVOgen WHITE Alternatif",'Standard NW Cl Alt'!C20,(IF($S$1="NOVOgen WHITE Light Alternatif",'Standard NW Li Alt'!C20,IF($S$1="NOVOgen WHITE Cages",'Standard NW Cl Ca'!C20,IF($S$1="NOVOgen WHITE Light Cages",'Standard NW Li Ca'!C20,"")))))</f>
        <v/>
      </c>
      <c r="D20" s="13" t="str">
        <f>IF($S$1="NOVOgen WHITE Alternatif",'Standard NW Cl Alt'!D20,(IF($S$1="NOVOgen WHITE Light Alternatif",'Standard NW Li Alt'!D20,IF($S$1="NOVOgen WHITE Cages",'Standard NW Cl Ca'!D20,IF($S$1="NOVOgen WHITE Light Cages",'Standard NW Li Ca'!D20,"")))))</f>
        <v/>
      </c>
      <c r="E20" s="14" t="str">
        <f>IF($S$1="NOVOgen WHITE Alternatif",'Standard NW Cl Alt'!E20,(IF($S$1="NOVOgen WHITE Light Alternatif",'Standard NW Li Alt'!E20,IF($S$1="NOVOgen WHITE Cages",'Standard NW Cl Ca'!E20,IF($S$1="NOVOgen WHITE Light Cages",'Standard NW Li Ca'!E20,"")))))</f>
        <v/>
      </c>
      <c r="F20" s="13" t="str">
        <f>IF($S$1="NOVOgen WHITE Alternatif",'Standard NW Cl Alt'!F20,(IF($S$1="NOVOgen WHITE Light Alternatif",'Standard NW Li Alt'!F20,IF($S$1="NOVOgen WHITE Cages",'Standard NW Cl Ca'!F20,IF($S$1="NOVOgen WHITE Light Cages",'Standard NW Li Ca'!F20,"")))))</f>
        <v/>
      </c>
      <c r="G20" s="14" t="str">
        <f>IF($S$1="NOVOgen WHITE Alternatif",'Standard NW Cl Alt'!G20,(IF($S$1="NOVOgen WHITE Light Alternatif",'Standard NW Li Alt'!G20,IF($S$1="NOVOgen WHITE Cages",'Standard NW Cl Ca'!G20,IF($S$1="NOVOgen WHITE Light Cages",'Standard NW Li Ca'!G20,"")))))</f>
        <v/>
      </c>
      <c r="H20" s="13" t="str">
        <f>IF($S$1="NOVOgen WHITE Alternatif",'Standard NW Cl Alt'!H20,(IF($S$1="NOVOgen WHITE Light Alternatif",'Standard NW Li Alt'!H20,IF($S$1="NOVOgen WHITE Cages",'Standard NW Cl Ca'!H20,IF($S$1="NOVOgen WHITE Light Cages",'Standard NW Li Ca'!H20,"")))))</f>
        <v/>
      </c>
      <c r="I20" s="13" t="str">
        <f>IF($S$1="NOVOgen WHITE Alternatif",'Standard NW Cl Alt'!I20,(IF($S$1="NOVOgen WHITE Light Alternatif",'Standard NW Li Alt'!I20,IF($S$1="NOVOgen WHITE Cages",'Standard NW Cl Ca'!I20,IF($S$1="NOVOgen WHITE Light Cages",'Standard NW Li Ca'!I20,"")))))</f>
        <v/>
      </c>
      <c r="J20" s="14" t="str">
        <f>IF($S$1="NOVOgen WHITE Alternatif",'Standard NW Cl Alt'!J20,(IF($S$1="NOVOgen WHITE Light Alternatif",'Standard NW Li Alt'!J20,IF($S$1="NOVOgen WHITE Cages",'Standard NW Cl Ca'!J20,IF($S$1="NOVOgen WHITE Light Cages",'Standard NW Li Ca'!J20,"")))))</f>
        <v/>
      </c>
      <c r="K20" s="15" t="str">
        <f>IF($S$1="NOVOgen WHITE Alternatif",'Standard NW Cl Alt'!K20,(IF($S$1="NOVOgen WHITE Light Alternatif",'Standard NW Li Alt'!K20,IF($S$1="NOVOgen WHITE Cages",'Standard NW Cl Ca'!K20,IF($S$1="NOVOgen WHITE Light Cages",'Standard NW Li Ca'!K20,"")))))</f>
        <v/>
      </c>
      <c r="L20" s="13" t="str">
        <f>IF($S$1="NOVOgen WHITE Alternatif",'Standard NW Cl Alt'!L20,(IF($S$1="NOVOgen WHITE Light Alternatif",'Standard NW Li Alt'!L20,IF($S$1="NOVOgen WHITE Cages",'Standard NW Cl Ca'!L20,IF($S$1="NOVOgen WHITE Light Cages",'Standard NW Li Ca'!L20,"")))))</f>
        <v/>
      </c>
      <c r="N20" s="101">
        <v>12</v>
      </c>
      <c r="O20" s="101" t="str">
        <f>IF($S$1="NOVOgen WHITE Alternatif",'Standard NW Cl Alt'!O20,(IF($S$1="NOVOgen WHITE Light Alternatif",'Standard NW Li Alt'!O20,IF($S$1="NOVOgen WHITE Cages",'Standard NW Cl Ca'!O20,IF($S$1="NOVOgen WHITE Light Cages",'Standard NW Li Ca'!O20,"")))))</f>
        <v/>
      </c>
      <c r="P20" s="102" t="str">
        <f>IF($S$1="NOVOgen WHITE Alternatif",'Standard NW Cl Alt'!P20,(IF($S$1="NOVOgen WHITE Light Alternatif",'Standard NW Li Alt'!P20,IF($S$1="NOVOgen WHITE Cages",'Standard NW Cl Ca'!P20,IF($S$1="NOVOgen WHITE Light Cages",'Standard NW Li Ca'!P20,"")))))</f>
        <v/>
      </c>
      <c r="Q20" s="102" t="str">
        <f>IF($S$1="NOVOgen WHITE Alternatif",'Standard NW Cl Alt'!Q20,(IF($S$1="NOVOgen WHITE Light Alternatif",'Standard NW Li Alt'!Q20,IF($S$1="NOVOgen WHITE Cages",'Standard NW Cl Ca'!Q20,IF($S$1="NOVOgen WHITE Light Cages",'Standard NW Li Ca'!Q20,"")))))</f>
        <v/>
      </c>
    </row>
    <row r="21" spans="1:17" ht="15" customHeight="1" x14ac:dyDescent="0.2">
      <c r="A21" s="10">
        <v>31</v>
      </c>
      <c r="B21" s="13" t="str">
        <f>IF($S$1="NOVOgen WHITE Alternatif",'Standard NW Cl Alt'!B21,(IF($S$1="NOVOgen WHITE Light Alternatif",'Standard NW Li Alt'!B21,IF($S$1="NOVOgen WHITE Cages",'Standard NW Cl Ca'!B21,IF($S$1="NOVOgen WHITE Light Cages",'Standard NW Li Ca'!B21,"")))))</f>
        <v/>
      </c>
      <c r="C21" s="13" t="str">
        <f>IF($S$1="NOVOgen WHITE Alternatif",'Standard NW Cl Alt'!C21,(IF($S$1="NOVOgen WHITE Light Alternatif",'Standard NW Li Alt'!C21,IF($S$1="NOVOgen WHITE Cages",'Standard NW Cl Ca'!C21,IF($S$1="NOVOgen WHITE Light Cages",'Standard NW Li Ca'!C21,"")))))</f>
        <v/>
      </c>
      <c r="D21" s="13" t="str">
        <f>IF($S$1="NOVOgen WHITE Alternatif",'Standard NW Cl Alt'!D21,(IF($S$1="NOVOgen WHITE Light Alternatif",'Standard NW Li Alt'!D21,IF($S$1="NOVOgen WHITE Cages",'Standard NW Cl Ca'!D21,IF($S$1="NOVOgen WHITE Light Cages",'Standard NW Li Ca'!D21,"")))))</f>
        <v/>
      </c>
      <c r="E21" s="14" t="str">
        <f>IF($S$1="NOVOgen WHITE Alternatif",'Standard NW Cl Alt'!E21,(IF($S$1="NOVOgen WHITE Light Alternatif",'Standard NW Li Alt'!E21,IF($S$1="NOVOgen WHITE Cages",'Standard NW Cl Ca'!E21,IF($S$1="NOVOgen WHITE Light Cages",'Standard NW Li Ca'!E21,"")))))</f>
        <v/>
      </c>
      <c r="F21" s="13" t="str">
        <f>IF($S$1="NOVOgen WHITE Alternatif",'Standard NW Cl Alt'!F21,(IF($S$1="NOVOgen WHITE Light Alternatif",'Standard NW Li Alt'!F21,IF($S$1="NOVOgen WHITE Cages",'Standard NW Cl Ca'!F21,IF($S$1="NOVOgen WHITE Light Cages",'Standard NW Li Ca'!F21,"")))))</f>
        <v/>
      </c>
      <c r="G21" s="14" t="str">
        <f>IF($S$1="NOVOgen WHITE Alternatif",'Standard NW Cl Alt'!G21,(IF($S$1="NOVOgen WHITE Light Alternatif",'Standard NW Li Alt'!G21,IF($S$1="NOVOgen WHITE Cages",'Standard NW Cl Ca'!G21,IF($S$1="NOVOgen WHITE Light Cages",'Standard NW Li Ca'!G21,"")))))</f>
        <v/>
      </c>
      <c r="H21" s="13" t="str">
        <f>IF($S$1="NOVOgen WHITE Alternatif",'Standard NW Cl Alt'!H21,(IF($S$1="NOVOgen WHITE Light Alternatif",'Standard NW Li Alt'!H21,IF($S$1="NOVOgen WHITE Cages",'Standard NW Cl Ca'!H21,IF($S$1="NOVOgen WHITE Light Cages",'Standard NW Li Ca'!H21,"")))))</f>
        <v/>
      </c>
      <c r="I21" s="13" t="str">
        <f>IF($S$1="NOVOgen WHITE Alternatif",'Standard NW Cl Alt'!I21,(IF($S$1="NOVOgen WHITE Light Alternatif",'Standard NW Li Alt'!I21,IF($S$1="NOVOgen WHITE Cages",'Standard NW Cl Ca'!I21,IF($S$1="NOVOgen WHITE Light Cages",'Standard NW Li Ca'!I21,"")))))</f>
        <v/>
      </c>
      <c r="J21" s="14" t="str">
        <f>IF($S$1="NOVOgen WHITE Alternatif",'Standard NW Cl Alt'!J21,(IF($S$1="NOVOgen WHITE Light Alternatif",'Standard NW Li Alt'!J21,IF($S$1="NOVOgen WHITE Cages",'Standard NW Cl Ca'!J21,IF($S$1="NOVOgen WHITE Light Cages",'Standard NW Li Ca'!J21,"")))))</f>
        <v/>
      </c>
      <c r="K21" s="15" t="str">
        <f>IF($S$1="NOVOgen WHITE Alternatif",'Standard NW Cl Alt'!K21,(IF($S$1="NOVOgen WHITE Light Alternatif",'Standard NW Li Alt'!K21,IF($S$1="NOVOgen WHITE Cages",'Standard NW Cl Ca'!K21,IF($S$1="NOVOgen WHITE Light Cages",'Standard NW Li Ca'!K21,"")))))</f>
        <v/>
      </c>
      <c r="L21" s="13" t="str">
        <f>IF($S$1="NOVOgen WHITE Alternatif",'Standard NW Cl Alt'!L21,(IF($S$1="NOVOgen WHITE Light Alternatif",'Standard NW Li Alt'!L21,IF($S$1="NOVOgen WHITE Cages",'Standard NW Cl Ca'!L21,IF($S$1="NOVOgen WHITE Light Cages",'Standard NW Li Ca'!L21,"")))))</f>
        <v/>
      </c>
      <c r="N21" s="101">
        <v>13</v>
      </c>
      <c r="O21" s="101" t="str">
        <f>IF($S$1="NOVOgen WHITE Alternatif",'Standard NW Cl Alt'!O21,(IF($S$1="NOVOgen WHITE Light Alternatif",'Standard NW Li Alt'!O21,IF($S$1="NOVOgen WHITE Cages",'Standard NW Cl Ca'!O21,IF($S$1="NOVOgen WHITE Light Cages",'Standard NW Li Ca'!O21,"")))))</f>
        <v/>
      </c>
      <c r="P21" s="102" t="str">
        <f>IF($S$1="NOVOgen WHITE Alternatif",'Standard NW Cl Alt'!P21,(IF($S$1="NOVOgen WHITE Light Alternatif",'Standard NW Li Alt'!P21,IF($S$1="NOVOgen WHITE Cages",'Standard NW Cl Ca'!P21,IF($S$1="NOVOgen WHITE Light Cages",'Standard NW Li Ca'!P21,"")))))</f>
        <v/>
      </c>
      <c r="Q21" s="102" t="str">
        <f>IF($S$1="NOVOgen WHITE Alternatif",'Standard NW Cl Alt'!Q21,(IF($S$1="NOVOgen WHITE Light Alternatif",'Standard NW Li Alt'!Q21,IF($S$1="NOVOgen WHITE Cages",'Standard NW Cl Ca'!Q21,IF($S$1="NOVOgen WHITE Light Cages",'Standard NW Li Ca'!Q21,"")))))</f>
        <v/>
      </c>
    </row>
    <row r="22" spans="1:17" ht="15" customHeight="1" x14ac:dyDescent="0.2">
      <c r="A22" s="16">
        <v>32</v>
      </c>
      <c r="B22" s="17" t="str">
        <f>IF($S$1="NOVOgen WHITE Alternatif",'Standard NW Cl Alt'!B22,(IF($S$1="NOVOgen WHITE Light Alternatif",'Standard NW Li Alt'!B22,IF($S$1="NOVOgen WHITE Cages",'Standard NW Cl Ca'!B22,IF($S$1="NOVOgen WHITE Light Cages",'Standard NW Li Ca'!B22,"")))))</f>
        <v/>
      </c>
      <c r="C22" s="17" t="str">
        <f>IF($S$1="NOVOgen WHITE Alternatif",'Standard NW Cl Alt'!C22,(IF($S$1="NOVOgen WHITE Light Alternatif",'Standard NW Li Alt'!C22,IF($S$1="NOVOgen WHITE Cages",'Standard NW Cl Ca'!C22,IF($S$1="NOVOgen WHITE Light Cages",'Standard NW Li Ca'!C22,"")))))</f>
        <v/>
      </c>
      <c r="D22" s="17" t="str">
        <f>IF($S$1="NOVOgen WHITE Alternatif",'Standard NW Cl Alt'!D22,(IF($S$1="NOVOgen WHITE Light Alternatif",'Standard NW Li Alt'!D22,IF($S$1="NOVOgen WHITE Cages",'Standard NW Cl Ca'!D22,IF($S$1="NOVOgen WHITE Light Cages",'Standard NW Li Ca'!D22,"")))))</f>
        <v/>
      </c>
      <c r="E22" s="18" t="str">
        <f>IF($S$1="NOVOgen WHITE Alternatif",'Standard NW Cl Alt'!E22,(IF($S$1="NOVOgen WHITE Light Alternatif",'Standard NW Li Alt'!E22,IF($S$1="NOVOgen WHITE Cages",'Standard NW Cl Ca'!E22,IF($S$1="NOVOgen WHITE Light Cages",'Standard NW Li Ca'!E22,"")))))</f>
        <v/>
      </c>
      <c r="F22" s="17" t="str">
        <f>IF($S$1="NOVOgen WHITE Alternatif",'Standard NW Cl Alt'!F22,(IF($S$1="NOVOgen WHITE Light Alternatif",'Standard NW Li Alt'!F22,IF($S$1="NOVOgen WHITE Cages",'Standard NW Cl Ca'!F22,IF($S$1="NOVOgen WHITE Light Cages",'Standard NW Li Ca'!F22,"")))))</f>
        <v/>
      </c>
      <c r="G22" s="18" t="str">
        <f>IF($S$1="NOVOgen WHITE Alternatif",'Standard NW Cl Alt'!G22,(IF($S$1="NOVOgen WHITE Light Alternatif",'Standard NW Li Alt'!G22,IF($S$1="NOVOgen WHITE Cages",'Standard NW Cl Ca'!G22,IF($S$1="NOVOgen WHITE Light Cages",'Standard NW Li Ca'!G22,"")))))</f>
        <v/>
      </c>
      <c r="H22" s="17" t="str">
        <f>IF($S$1="NOVOgen WHITE Alternatif",'Standard NW Cl Alt'!H22,(IF($S$1="NOVOgen WHITE Light Alternatif",'Standard NW Li Alt'!H22,IF($S$1="NOVOgen WHITE Cages",'Standard NW Cl Ca'!H22,IF($S$1="NOVOgen WHITE Light Cages",'Standard NW Li Ca'!H22,"")))))</f>
        <v/>
      </c>
      <c r="I22" s="17" t="str">
        <f>IF($S$1="NOVOgen WHITE Alternatif",'Standard NW Cl Alt'!I22,(IF($S$1="NOVOgen WHITE Light Alternatif",'Standard NW Li Alt'!I22,IF($S$1="NOVOgen WHITE Cages",'Standard NW Cl Ca'!I22,IF($S$1="NOVOgen WHITE Light Cages",'Standard NW Li Ca'!I22,"")))))</f>
        <v/>
      </c>
      <c r="J22" s="18" t="str">
        <f>IF($S$1="NOVOgen WHITE Alternatif",'Standard NW Cl Alt'!J22,(IF($S$1="NOVOgen WHITE Light Alternatif",'Standard NW Li Alt'!J22,IF($S$1="NOVOgen WHITE Cages",'Standard NW Cl Ca'!J22,IF($S$1="NOVOgen WHITE Light Cages",'Standard NW Li Ca'!J22,"")))))</f>
        <v/>
      </c>
      <c r="K22" s="19" t="str">
        <f>IF($S$1="NOVOgen WHITE Alternatif",'Standard NW Cl Alt'!K22,(IF($S$1="NOVOgen WHITE Light Alternatif",'Standard NW Li Alt'!K22,IF($S$1="NOVOgen WHITE Cages",'Standard NW Cl Ca'!K22,IF($S$1="NOVOgen WHITE Light Cages",'Standard NW Li Ca'!K22,"")))))</f>
        <v/>
      </c>
      <c r="L22" s="17" t="str">
        <f>IF($S$1="NOVOgen WHITE Alternatif",'Standard NW Cl Alt'!L22,(IF($S$1="NOVOgen WHITE Light Alternatif",'Standard NW Li Alt'!L22,IF($S$1="NOVOgen WHITE Cages",'Standard NW Cl Ca'!L22,IF($S$1="NOVOgen WHITE Light Cages",'Standard NW Li Ca'!L22,"")))))</f>
        <v/>
      </c>
      <c r="N22" s="101">
        <v>14</v>
      </c>
      <c r="O22" s="101" t="str">
        <f>IF($S$1="NOVOgen WHITE Alternatif",'Standard NW Cl Alt'!O22,(IF($S$1="NOVOgen WHITE Light Alternatif",'Standard NW Li Alt'!O22,IF($S$1="NOVOgen WHITE Cages",'Standard NW Cl Ca'!O22,IF($S$1="NOVOgen WHITE Light Cages",'Standard NW Li Ca'!O22,"")))))</f>
        <v/>
      </c>
      <c r="P22" s="102" t="str">
        <f>IF($S$1="NOVOgen WHITE Alternatif",'Standard NW Cl Alt'!P22,(IF($S$1="NOVOgen WHITE Light Alternatif",'Standard NW Li Alt'!P22,IF($S$1="NOVOgen WHITE Cages",'Standard NW Cl Ca'!P22,IF($S$1="NOVOgen WHITE Light Cages",'Standard NW Li Ca'!P22,"")))))</f>
        <v/>
      </c>
      <c r="Q22" s="102" t="str">
        <f>IF($S$1="NOVOgen WHITE Alternatif",'Standard NW Cl Alt'!Q22,(IF($S$1="NOVOgen WHITE Light Alternatif",'Standard NW Li Alt'!Q22,IF($S$1="NOVOgen WHITE Cages",'Standard NW Cl Ca'!Q22,IF($S$1="NOVOgen WHITE Light Cages",'Standard NW Li Ca'!Q22,"")))))</f>
        <v/>
      </c>
    </row>
    <row r="23" spans="1:17" ht="15" customHeight="1" x14ac:dyDescent="0.2">
      <c r="A23" s="10">
        <v>33</v>
      </c>
      <c r="B23" s="13" t="str">
        <f>IF($S$1="NOVOgen WHITE Alternatif",'Standard NW Cl Alt'!B23,(IF($S$1="NOVOgen WHITE Light Alternatif",'Standard NW Li Alt'!B23,IF($S$1="NOVOgen WHITE Cages",'Standard NW Cl Ca'!B23,IF($S$1="NOVOgen WHITE Light Cages",'Standard NW Li Ca'!B23,"")))))</f>
        <v/>
      </c>
      <c r="C23" s="13" t="str">
        <f>IF($S$1="NOVOgen WHITE Alternatif",'Standard NW Cl Alt'!C23,(IF($S$1="NOVOgen WHITE Light Alternatif",'Standard NW Li Alt'!C23,IF($S$1="NOVOgen WHITE Cages",'Standard NW Cl Ca'!C23,IF($S$1="NOVOgen WHITE Light Cages",'Standard NW Li Ca'!C23,"")))))</f>
        <v/>
      </c>
      <c r="D23" s="13" t="str">
        <f>IF($S$1="NOVOgen WHITE Alternatif",'Standard NW Cl Alt'!D23,(IF($S$1="NOVOgen WHITE Light Alternatif",'Standard NW Li Alt'!D23,IF($S$1="NOVOgen WHITE Cages",'Standard NW Cl Ca'!D23,IF($S$1="NOVOgen WHITE Light Cages",'Standard NW Li Ca'!D23,"")))))</f>
        <v/>
      </c>
      <c r="E23" s="14" t="str">
        <f>IF($S$1="NOVOgen WHITE Alternatif",'Standard NW Cl Alt'!E23,(IF($S$1="NOVOgen WHITE Light Alternatif",'Standard NW Li Alt'!E23,IF($S$1="NOVOgen WHITE Cages",'Standard NW Cl Ca'!E23,IF($S$1="NOVOgen WHITE Light Cages",'Standard NW Li Ca'!E23,"")))))</f>
        <v/>
      </c>
      <c r="F23" s="13" t="str">
        <f>IF($S$1="NOVOgen WHITE Alternatif",'Standard NW Cl Alt'!F23,(IF($S$1="NOVOgen WHITE Light Alternatif",'Standard NW Li Alt'!F23,IF($S$1="NOVOgen WHITE Cages",'Standard NW Cl Ca'!F23,IF($S$1="NOVOgen WHITE Light Cages",'Standard NW Li Ca'!F23,"")))))</f>
        <v/>
      </c>
      <c r="G23" s="14" t="str">
        <f>IF($S$1="NOVOgen WHITE Alternatif",'Standard NW Cl Alt'!G23,(IF($S$1="NOVOgen WHITE Light Alternatif",'Standard NW Li Alt'!G23,IF($S$1="NOVOgen WHITE Cages",'Standard NW Cl Ca'!G23,IF($S$1="NOVOgen WHITE Light Cages",'Standard NW Li Ca'!G23,"")))))</f>
        <v/>
      </c>
      <c r="H23" s="13" t="str">
        <f>IF($S$1="NOVOgen WHITE Alternatif",'Standard NW Cl Alt'!H23,(IF($S$1="NOVOgen WHITE Light Alternatif",'Standard NW Li Alt'!H23,IF($S$1="NOVOgen WHITE Cages",'Standard NW Cl Ca'!H23,IF($S$1="NOVOgen WHITE Light Cages",'Standard NW Li Ca'!H23,"")))))</f>
        <v/>
      </c>
      <c r="I23" s="13" t="str">
        <f>IF($S$1="NOVOgen WHITE Alternatif",'Standard NW Cl Alt'!I23,(IF($S$1="NOVOgen WHITE Light Alternatif",'Standard NW Li Alt'!I23,IF($S$1="NOVOgen WHITE Cages",'Standard NW Cl Ca'!I23,IF($S$1="NOVOgen WHITE Light Cages",'Standard NW Li Ca'!I23,"")))))</f>
        <v/>
      </c>
      <c r="J23" s="14" t="str">
        <f>IF($S$1="NOVOgen WHITE Alternatif",'Standard NW Cl Alt'!J23,(IF($S$1="NOVOgen WHITE Light Alternatif",'Standard NW Li Alt'!J23,IF($S$1="NOVOgen WHITE Cages",'Standard NW Cl Ca'!J23,IF($S$1="NOVOgen WHITE Light Cages",'Standard NW Li Ca'!J23,"")))))</f>
        <v/>
      </c>
      <c r="K23" s="15" t="str">
        <f>IF($S$1="NOVOgen WHITE Alternatif",'Standard NW Cl Alt'!K23,(IF($S$1="NOVOgen WHITE Light Alternatif",'Standard NW Li Alt'!K23,IF($S$1="NOVOgen WHITE Cages",'Standard NW Cl Ca'!K23,IF($S$1="NOVOgen WHITE Light Cages",'Standard NW Li Ca'!K23,"")))))</f>
        <v/>
      </c>
      <c r="L23" s="13" t="str">
        <f>IF($S$1="NOVOgen WHITE Alternatif",'Standard NW Cl Alt'!L23,(IF($S$1="NOVOgen WHITE Light Alternatif",'Standard NW Li Alt'!L23,IF($S$1="NOVOgen WHITE Cages",'Standard NW Cl Ca'!L23,IF($S$1="NOVOgen WHITE Light Cages",'Standard NW Li Ca'!L23,"")))))</f>
        <v/>
      </c>
      <c r="N23" s="101">
        <v>15</v>
      </c>
      <c r="O23" s="101" t="str">
        <f>IF($S$1="NOVOgen WHITE Alternatif",'Standard NW Cl Alt'!O23,(IF($S$1="NOVOgen WHITE Light Alternatif",'Standard NW Li Alt'!O23,IF($S$1="NOVOgen WHITE Cages",'Standard NW Cl Ca'!O23,IF($S$1="NOVOgen WHITE Light Cages",'Standard NW Li Ca'!O23,"")))))</f>
        <v/>
      </c>
      <c r="P23" s="102" t="str">
        <f>IF($S$1="NOVOgen WHITE Alternatif",'Standard NW Cl Alt'!P23,(IF($S$1="NOVOgen WHITE Light Alternatif",'Standard NW Li Alt'!P23,IF($S$1="NOVOgen WHITE Cages",'Standard NW Cl Ca'!P23,IF($S$1="NOVOgen WHITE Light Cages",'Standard NW Li Ca'!P23,"")))))</f>
        <v/>
      </c>
      <c r="Q23" s="102" t="str">
        <f>IF($S$1="NOVOgen WHITE Alternatif",'Standard NW Cl Alt'!Q23,(IF($S$1="NOVOgen WHITE Light Alternatif",'Standard NW Li Alt'!Q23,IF($S$1="NOVOgen WHITE Cages",'Standard NW Cl Ca'!Q23,IF($S$1="NOVOgen WHITE Light Cages",'Standard NW Li Ca'!Q23,"")))))</f>
        <v/>
      </c>
    </row>
    <row r="24" spans="1:17" ht="15" customHeight="1" x14ac:dyDescent="0.2">
      <c r="A24" s="10">
        <v>34</v>
      </c>
      <c r="B24" s="13" t="str">
        <f>IF($S$1="NOVOgen WHITE Alternatif",'Standard NW Cl Alt'!B24,(IF($S$1="NOVOgen WHITE Light Alternatif",'Standard NW Li Alt'!B24,IF($S$1="NOVOgen WHITE Cages",'Standard NW Cl Ca'!B24,IF($S$1="NOVOgen WHITE Light Cages",'Standard NW Li Ca'!B24,"")))))</f>
        <v/>
      </c>
      <c r="C24" s="13" t="str">
        <f>IF($S$1="NOVOgen WHITE Alternatif",'Standard NW Cl Alt'!C24,(IF($S$1="NOVOgen WHITE Light Alternatif",'Standard NW Li Alt'!C24,IF($S$1="NOVOgen WHITE Cages",'Standard NW Cl Ca'!C24,IF($S$1="NOVOgen WHITE Light Cages",'Standard NW Li Ca'!C24,"")))))</f>
        <v/>
      </c>
      <c r="D24" s="13" t="str">
        <f>IF($S$1="NOVOgen WHITE Alternatif",'Standard NW Cl Alt'!D24,(IF($S$1="NOVOgen WHITE Light Alternatif",'Standard NW Li Alt'!D24,IF($S$1="NOVOgen WHITE Cages",'Standard NW Cl Ca'!D24,IF($S$1="NOVOgen WHITE Light Cages",'Standard NW Li Ca'!D24,"")))))</f>
        <v/>
      </c>
      <c r="E24" s="14" t="str">
        <f>IF($S$1="NOVOgen WHITE Alternatif",'Standard NW Cl Alt'!E24,(IF($S$1="NOVOgen WHITE Light Alternatif",'Standard NW Li Alt'!E24,IF($S$1="NOVOgen WHITE Cages",'Standard NW Cl Ca'!E24,IF($S$1="NOVOgen WHITE Light Cages",'Standard NW Li Ca'!E24,"")))))</f>
        <v/>
      </c>
      <c r="F24" s="13" t="str">
        <f>IF($S$1="NOVOgen WHITE Alternatif",'Standard NW Cl Alt'!F24,(IF($S$1="NOVOgen WHITE Light Alternatif",'Standard NW Li Alt'!F24,IF($S$1="NOVOgen WHITE Cages",'Standard NW Cl Ca'!F24,IF($S$1="NOVOgen WHITE Light Cages",'Standard NW Li Ca'!F24,"")))))</f>
        <v/>
      </c>
      <c r="G24" s="14" t="str">
        <f>IF($S$1="NOVOgen WHITE Alternatif",'Standard NW Cl Alt'!G24,(IF($S$1="NOVOgen WHITE Light Alternatif",'Standard NW Li Alt'!G24,IF($S$1="NOVOgen WHITE Cages",'Standard NW Cl Ca'!G24,IF($S$1="NOVOgen WHITE Light Cages",'Standard NW Li Ca'!G24,"")))))</f>
        <v/>
      </c>
      <c r="H24" s="13" t="str">
        <f>IF($S$1="NOVOgen WHITE Alternatif",'Standard NW Cl Alt'!H24,(IF($S$1="NOVOgen WHITE Light Alternatif",'Standard NW Li Alt'!H24,IF($S$1="NOVOgen WHITE Cages",'Standard NW Cl Ca'!H24,IF($S$1="NOVOgen WHITE Light Cages",'Standard NW Li Ca'!H24,"")))))</f>
        <v/>
      </c>
      <c r="I24" s="13" t="str">
        <f>IF($S$1="NOVOgen WHITE Alternatif",'Standard NW Cl Alt'!I24,(IF($S$1="NOVOgen WHITE Light Alternatif",'Standard NW Li Alt'!I24,IF($S$1="NOVOgen WHITE Cages",'Standard NW Cl Ca'!I24,IF($S$1="NOVOgen WHITE Light Cages",'Standard NW Li Ca'!I24,"")))))</f>
        <v/>
      </c>
      <c r="J24" s="14" t="str">
        <f>IF($S$1="NOVOgen WHITE Alternatif",'Standard NW Cl Alt'!J24,(IF($S$1="NOVOgen WHITE Light Alternatif",'Standard NW Li Alt'!J24,IF($S$1="NOVOgen WHITE Cages",'Standard NW Cl Ca'!J24,IF($S$1="NOVOgen WHITE Light Cages",'Standard NW Li Ca'!J24,"")))))</f>
        <v/>
      </c>
      <c r="K24" s="15" t="str">
        <f>IF($S$1="NOVOgen WHITE Alternatif",'Standard NW Cl Alt'!K24,(IF($S$1="NOVOgen WHITE Light Alternatif",'Standard NW Li Alt'!K24,IF($S$1="NOVOgen WHITE Cages",'Standard NW Cl Ca'!K24,IF($S$1="NOVOgen WHITE Light Cages",'Standard NW Li Ca'!K24,"")))))</f>
        <v/>
      </c>
      <c r="L24" s="13" t="str">
        <f>IF($S$1="NOVOgen WHITE Alternatif",'Standard NW Cl Alt'!L24,(IF($S$1="NOVOgen WHITE Light Alternatif",'Standard NW Li Alt'!L24,IF($S$1="NOVOgen WHITE Cages",'Standard NW Cl Ca'!L24,IF($S$1="NOVOgen WHITE Light Cages",'Standard NW Li Ca'!L24,"")))))</f>
        <v/>
      </c>
      <c r="N24" s="101">
        <v>16</v>
      </c>
      <c r="O24" s="101" t="str">
        <f>IF($S$1="NOVOgen WHITE Alternatif",'Standard NW Cl Alt'!O24,(IF($S$1="NOVOgen WHITE Light Alternatif",'Standard NW Li Alt'!O24,IF($S$1="NOVOgen WHITE Cages",'Standard NW Cl Ca'!O24,IF($S$1="NOVOgen WHITE Light Cages",'Standard NW Li Ca'!O24,"")))))</f>
        <v/>
      </c>
      <c r="P24" s="102" t="str">
        <f>IF($S$1="NOVOgen WHITE Alternatif",'Standard NW Cl Alt'!P24,(IF($S$1="NOVOgen WHITE Light Alternatif",'Standard NW Li Alt'!P24,IF($S$1="NOVOgen WHITE Cages",'Standard NW Cl Ca'!P24,IF($S$1="NOVOgen WHITE Light Cages",'Standard NW Li Ca'!P24,"")))))</f>
        <v/>
      </c>
      <c r="Q24" s="102" t="str">
        <f>IF($S$1="NOVOgen WHITE Alternatif",'Standard NW Cl Alt'!Q24,(IF($S$1="NOVOgen WHITE Light Alternatif",'Standard NW Li Alt'!Q24,IF($S$1="NOVOgen WHITE Cages",'Standard NW Cl Ca'!Q24,IF($S$1="NOVOgen WHITE Light Cages",'Standard NW Li Ca'!Q24,"")))))</f>
        <v/>
      </c>
    </row>
    <row r="25" spans="1:17" ht="15" customHeight="1" x14ac:dyDescent="0.2">
      <c r="A25" s="10">
        <v>35</v>
      </c>
      <c r="B25" s="13" t="str">
        <f>IF($S$1="NOVOgen WHITE Alternatif",'Standard NW Cl Alt'!B25,(IF($S$1="NOVOgen WHITE Light Alternatif",'Standard NW Li Alt'!B25,IF($S$1="NOVOgen WHITE Cages",'Standard NW Cl Ca'!B25,IF($S$1="NOVOgen WHITE Light Cages",'Standard NW Li Ca'!B25,"")))))</f>
        <v/>
      </c>
      <c r="C25" s="13" t="str">
        <f>IF($S$1="NOVOgen WHITE Alternatif",'Standard NW Cl Alt'!C25,(IF($S$1="NOVOgen WHITE Light Alternatif",'Standard NW Li Alt'!C25,IF($S$1="NOVOgen WHITE Cages",'Standard NW Cl Ca'!C25,IF($S$1="NOVOgen WHITE Light Cages",'Standard NW Li Ca'!C25,"")))))</f>
        <v/>
      </c>
      <c r="D25" s="13" t="str">
        <f>IF($S$1="NOVOgen WHITE Alternatif",'Standard NW Cl Alt'!D25,(IF($S$1="NOVOgen WHITE Light Alternatif",'Standard NW Li Alt'!D25,IF($S$1="NOVOgen WHITE Cages",'Standard NW Cl Ca'!D25,IF($S$1="NOVOgen WHITE Light Cages",'Standard NW Li Ca'!D25,"")))))</f>
        <v/>
      </c>
      <c r="E25" s="14" t="str">
        <f>IF($S$1="NOVOgen WHITE Alternatif",'Standard NW Cl Alt'!E25,(IF($S$1="NOVOgen WHITE Light Alternatif",'Standard NW Li Alt'!E25,IF($S$1="NOVOgen WHITE Cages",'Standard NW Cl Ca'!E25,IF($S$1="NOVOgen WHITE Light Cages",'Standard NW Li Ca'!E25,"")))))</f>
        <v/>
      </c>
      <c r="F25" s="13" t="str">
        <f>IF($S$1="NOVOgen WHITE Alternatif",'Standard NW Cl Alt'!F25,(IF($S$1="NOVOgen WHITE Light Alternatif",'Standard NW Li Alt'!F25,IF($S$1="NOVOgen WHITE Cages",'Standard NW Cl Ca'!F25,IF($S$1="NOVOgen WHITE Light Cages",'Standard NW Li Ca'!F25,"")))))</f>
        <v/>
      </c>
      <c r="G25" s="14" t="str">
        <f>IF($S$1="NOVOgen WHITE Alternatif",'Standard NW Cl Alt'!G25,(IF($S$1="NOVOgen WHITE Light Alternatif",'Standard NW Li Alt'!G25,IF($S$1="NOVOgen WHITE Cages",'Standard NW Cl Ca'!G25,IF($S$1="NOVOgen WHITE Light Cages",'Standard NW Li Ca'!G25,"")))))</f>
        <v/>
      </c>
      <c r="H25" s="13" t="str">
        <f>IF($S$1="NOVOgen WHITE Alternatif",'Standard NW Cl Alt'!H25,(IF($S$1="NOVOgen WHITE Light Alternatif",'Standard NW Li Alt'!H25,IF($S$1="NOVOgen WHITE Cages",'Standard NW Cl Ca'!H25,IF($S$1="NOVOgen WHITE Light Cages",'Standard NW Li Ca'!H25,"")))))</f>
        <v/>
      </c>
      <c r="I25" s="13" t="str">
        <f>IF($S$1="NOVOgen WHITE Alternatif",'Standard NW Cl Alt'!I25,(IF($S$1="NOVOgen WHITE Light Alternatif",'Standard NW Li Alt'!I25,IF($S$1="NOVOgen WHITE Cages",'Standard NW Cl Ca'!I25,IF($S$1="NOVOgen WHITE Light Cages",'Standard NW Li Ca'!I25,"")))))</f>
        <v/>
      </c>
      <c r="J25" s="14" t="str">
        <f>IF($S$1="NOVOgen WHITE Alternatif",'Standard NW Cl Alt'!J25,(IF($S$1="NOVOgen WHITE Light Alternatif",'Standard NW Li Alt'!J25,IF($S$1="NOVOgen WHITE Cages",'Standard NW Cl Ca'!J25,IF($S$1="NOVOgen WHITE Light Cages",'Standard NW Li Ca'!J25,"")))))</f>
        <v/>
      </c>
      <c r="K25" s="15" t="str">
        <f>IF($S$1="NOVOgen WHITE Alternatif",'Standard NW Cl Alt'!K25,(IF($S$1="NOVOgen WHITE Light Alternatif",'Standard NW Li Alt'!K25,IF($S$1="NOVOgen WHITE Cages",'Standard NW Cl Ca'!K25,IF($S$1="NOVOgen WHITE Light Cages",'Standard NW Li Ca'!K25,"")))))</f>
        <v/>
      </c>
      <c r="L25" s="13" t="str">
        <f>IF($S$1="NOVOgen WHITE Alternatif",'Standard NW Cl Alt'!L25,(IF($S$1="NOVOgen WHITE Light Alternatif",'Standard NW Li Alt'!L25,IF($S$1="NOVOgen WHITE Cages",'Standard NW Cl Ca'!L25,IF($S$1="NOVOgen WHITE Light Cages",'Standard NW Li Ca'!L25,"")))))</f>
        <v/>
      </c>
      <c r="N25" s="101">
        <v>17</v>
      </c>
      <c r="O25" s="101" t="str">
        <f>IF($S$1="NOVOgen WHITE Alternatif",'Standard NW Cl Alt'!O25,(IF($S$1="NOVOgen WHITE Light Alternatif",'Standard NW Li Alt'!O25,IF($S$1="NOVOgen WHITE Cages",'Standard NW Cl Ca'!O25,IF($S$1="NOVOgen WHITE Light Cages",'Standard NW Li Ca'!O25,"")))))</f>
        <v/>
      </c>
      <c r="P25" s="102" t="str">
        <f>IF($S$1="NOVOgen WHITE Alternatif",'Standard NW Cl Alt'!P25,(IF($S$1="NOVOgen WHITE Light Alternatif",'Standard NW Li Alt'!P25,IF($S$1="NOVOgen WHITE Cages",'Standard NW Cl Ca'!P25,IF($S$1="NOVOgen WHITE Light Cages",'Standard NW Li Ca'!P25,"")))))</f>
        <v/>
      </c>
      <c r="Q25" s="102" t="str">
        <f>IF($S$1="NOVOgen WHITE Alternatif",'Standard NW Cl Alt'!Q25,(IF($S$1="NOVOgen WHITE Light Alternatif",'Standard NW Li Alt'!Q25,IF($S$1="NOVOgen WHITE Cages",'Standard NW Cl Ca'!Q25,IF($S$1="NOVOgen WHITE Light Cages",'Standard NW Li Ca'!Q25,"")))))</f>
        <v/>
      </c>
    </row>
    <row r="26" spans="1:17" ht="15" customHeight="1" x14ac:dyDescent="0.2">
      <c r="A26" s="16">
        <v>36</v>
      </c>
      <c r="B26" s="17" t="str">
        <f>IF($S$1="NOVOgen WHITE Alternatif",'Standard NW Cl Alt'!B26,(IF($S$1="NOVOgen WHITE Light Alternatif",'Standard NW Li Alt'!B26,IF($S$1="NOVOgen WHITE Cages",'Standard NW Cl Ca'!B26,IF($S$1="NOVOgen WHITE Light Cages",'Standard NW Li Ca'!B26,"")))))</f>
        <v/>
      </c>
      <c r="C26" s="17" t="str">
        <f>IF($S$1="NOVOgen WHITE Alternatif",'Standard NW Cl Alt'!C26,(IF($S$1="NOVOgen WHITE Light Alternatif",'Standard NW Li Alt'!C26,IF($S$1="NOVOgen WHITE Cages",'Standard NW Cl Ca'!C26,IF($S$1="NOVOgen WHITE Light Cages",'Standard NW Li Ca'!C26,"")))))</f>
        <v/>
      </c>
      <c r="D26" s="17" t="str">
        <f>IF($S$1="NOVOgen WHITE Alternatif",'Standard NW Cl Alt'!D26,(IF($S$1="NOVOgen WHITE Light Alternatif",'Standard NW Li Alt'!D26,IF($S$1="NOVOgen WHITE Cages",'Standard NW Cl Ca'!D26,IF($S$1="NOVOgen WHITE Light Cages",'Standard NW Li Ca'!D26,"")))))</f>
        <v/>
      </c>
      <c r="E26" s="18" t="str">
        <f>IF($S$1="NOVOgen WHITE Alternatif",'Standard NW Cl Alt'!E26,(IF($S$1="NOVOgen WHITE Light Alternatif",'Standard NW Li Alt'!E26,IF($S$1="NOVOgen WHITE Cages",'Standard NW Cl Ca'!E26,IF($S$1="NOVOgen WHITE Light Cages",'Standard NW Li Ca'!E26,"")))))</f>
        <v/>
      </c>
      <c r="F26" s="17" t="str">
        <f>IF($S$1="NOVOgen WHITE Alternatif",'Standard NW Cl Alt'!F26,(IF($S$1="NOVOgen WHITE Light Alternatif",'Standard NW Li Alt'!F26,IF($S$1="NOVOgen WHITE Cages",'Standard NW Cl Ca'!F26,IF($S$1="NOVOgen WHITE Light Cages",'Standard NW Li Ca'!F26,"")))))</f>
        <v/>
      </c>
      <c r="G26" s="18" t="str">
        <f>IF($S$1="NOVOgen WHITE Alternatif",'Standard NW Cl Alt'!G26,(IF($S$1="NOVOgen WHITE Light Alternatif",'Standard NW Li Alt'!G26,IF($S$1="NOVOgen WHITE Cages",'Standard NW Cl Ca'!G26,IF($S$1="NOVOgen WHITE Light Cages",'Standard NW Li Ca'!G26,"")))))</f>
        <v/>
      </c>
      <c r="H26" s="17" t="str">
        <f>IF($S$1="NOVOgen WHITE Alternatif",'Standard NW Cl Alt'!H26,(IF($S$1="NOVOgen WHITE Light Alternatif",'Standard NW Li Alt'!H26,IF($S$1="NOVOgen WHITE Cages",'Standard NW Cl Ca'!H26,IF($S$1="NOVOgen WHITE Light Cages",'Standard NW Li Ca'!H26,"")))))</f>
        <v/>
      </c>
      <c r="I26" s="17" t="str">
        <f>IF($S$1="NOVOgen WHITE Alternatif",'Standard NW Cl Alt'!I26,(IF($S$1="NOVOgen WHITE Light Alternatif",'Standard NW Li Alt'!I26,IF($S$1="NOVOgen WHITE Cages",'Standard NW Cl Ca'!I26,IF($S$1="NOVOgen WHITE Light Cages",'Standard NW Li Ca'!I26,"")))))</f>
        <v/>
      </c>
      <c r="J26" s="18" t="str">
        <f>IF($S$1="NOVOgen WHITE Alternatif",'Standard NW Cl Alt'!J26,(IF($S$1="NOVOgen WHITE Light Alternatif",'Standard NW Li Alt'!J26,IF($S$1="NOVOgen WHITE Cages",'Standard NW Cl Ca'!J26,IF($S$1="NOVOgen WHITE Light Cages",'Standard NW Li Ca'!J26,"")))))</f>
        <v/>
      </c>
      <c r="K26" s="19" t="str">
        <f>IF($S$1="NOVOgen WHITE Alternatif",'Standard NW Cl Alt'!K26,(IF($S$1="NOVOgen WHITE Light Alternatif",'Standard NW Li Alt'!K26,IF($S$1="NOVOgen WHITE Cages",'Standard NW Cl Ca'!K26,IF($S$1="NOVOgen WHITE Light Cages",'Standard NW Li Ca'!K26,"")))))</f>
        <v/>
      </c>
      <c r="L26" s="17" t="str">
        <f>IF($S$1="NOVOgen WHITE Alternatif",'Standard NW Cl Alt'!L26,(IF($S$1="NOVOgen WHITE Light Alternatif",'Standard NW Li Alt'!L26,IF($S$1="NOVOgen WHITE Cages",'Standard NW Cl Ca'!L26,IF($S$1="NOVOgen WHITE Light Cages",'Standard NW Li Ca'!L26,"")))))</f>
        <v/>
      </c>
      <c r="N26" s="103">
        <v>18</v>
      </c>
      <c r="O26" s="101" t="str">
        <f>IF($S$1="NOVOgen WHITE Alternatif",'Standard NW Cl Alt'!O26,(IF($S$1="NOVOgen WHITE Light Alternatif",'Standard NW Li Alt'!O26,IF($S$1="NOVOgen WHITE Cages",'Standard NW Cl Ca'!O26,IF($S$1="NOVOgen WHITE Light Cages",'Standard NW Li Ca'!O26,"")))))</f>
        <v/>
      </c>
      <c r="P26" s="102" t="str">
        <f>IF($S$1="NOVOgen WHITE Alternatif",'Standard NW Cl Alt'!P26,(IF($S$1="NOVOgen WHITE Light Alternatif",'Standard NW Li Alt'!P26,IF($S$1="NOVOgen WHITE Cages",'Standard NW Cl Ca'!P26,IF($S$1="NOVOgen WHITE Light Cages",'Standard NW Li Ca'!P26,"")))))</f>
        <v/>
      </c>
      <c r="Q26" s="102" t="str">
        <f>IF($S$1="NOVOgen WHITE Alternatif",'Standard NW Cl Alt'!Q26,(IF($S$1="NOVOgen WHITE Light Alternatif",'Standard NW Li Alt'!Q26,IF($S$1="NOVOgen WHITE Cages",'Standard NW Cl Ca'!Q26,IF($S$1="NOVOgen WHITE Light Cages",'Standard NW Li Ca'!Q26,"")))))</f>
        <v/>
      </c>
    </row>
    <row r="27" spans="1:17" ht="15" customHeight="1" x14ac:dyDescent="0.2">
      <c r="A27" s="10">
        <v>37</v>
      </c>
      <c r="B27" s="13" t="str">
        <f>IF($S$1="NOVOgen WHITE Alternatif",'Standard NW Cl Alt'!B27,(IF($S$1="NOVOgen WHITE Light Alternatif",'Standard NW Li Alt'!B27,IF($S$1="NOVOgen WHITE Cages",'Standard NW Cl Ca'!B27,IF($S$1="NOVOgen WHITE Light Cages",'Standard NW Li Ca'!B27,"")))))</f>
        <v/>
      </c>
      <c r="C27" s="13" t="str">
        <f>IF($S$1="NOVOgen WHITE Alternatif",'Standard NW Cl Alt'!C27,(IF($S$1="NOVOgen WHITE Light Alternatif",'Standard NW Li Alt'!C27,IF($S$1="NOVOgen WHITE Cages",'Standard NW Cl Ca'!C27,IF($S$1="NOVOgen WHITE Light Cages",'Standard NW Li Ca'!C27,"")))))</f>
        <v/>
      </c>
      <c r="D27" s="13" t="str">
        <f>IF($S$1="NOVOgen WHITE Alternatif",'Standard NW Cl Alt'!D27,(IF($S$1="NOVOgen WHITE Light Alternatif",'Standard NW Li Alt'!D27,IF($S$1="NOVOgen WHITE Cages",'Standard NW Cl Ca'!D27,IF($S$1="NOVOgen WHITE Light Cages",'Standard NW Li Ca'!D27,"")))))</f>
        <v/>
      </c>
      <c r="E27" s="14" t="str">
        <f>IF($S$1="NOVOgen WHITE Alternatif",'Standard NW Cl Alt'!E27,(IF($S$1="NOVOgen WHITE Light Alternatif",'Standard NW Li Alt'!E27,IF($S$1="NOVOgen WHITE Cages",'Standard NW Cl Ca'!E27,IF($S$1="NOVOgen WHITE Light Cages",'Standard NW Li Ca'!E27,"")))))</f>
        <v/>
      </c>
      <c r="F27" s="13" t="str">
        <f>IF($S$1="NOVOgen WHITE Alternatif",'Standard NW Cl Alt'!F27,(IF($S$1="NOVOgen WHITE Light Alternatif",'Standard NW Li Alt'!F27,IF($S$1="NOVOgen WHITE Cages",'Standard NW Cl Ca'!F27,IF($S$1="NOVOgen WHITE Light Cages",'Standard NW Li Ca'!F27,"")))))</f>
        <v/>
      </c>
      <c r="G27" s="14" t="str">
        <f>IF($S$1="NOVOgen WHITE Alternatif",'Standard NW Cl Alt'!G27,(IF($S$1="NOVOgen WHITE Light Alternatif",'Standard NW Li Alt'!G27,IF($S$1="NOVOgen WHITE Cages",'Standard NW Cl Ca'!G27,IF($S$1="NOVOgen WHITE Light Cages",'Standard NW Li Ca'!G27,"")))))</f>
        <v/>
      </c>
      <c r="H27" s="13" t="str">
        <f>IF($S$1="NOVOgen WHITE Alternatif",'Standard NW Cl Alt'!H27,(IF($S$1="NOVOgen WHITE Light Alternatif",'Standard NW Li Alt'!H27,IF($S$1="NOVOgen WHITE Cages",'Standard NW Cl Ca'!H27,IF($S$1="NOVOgen WHITE Light Cages",'Standard NW Li Ca'!H27,"")))))</f>
        <v/>
      </c>
      <c r="I27" s="13" t="str">
        <f>IF($S$1="NOVOgen WHITE Alternatif",'Standard NW Cl Alt'!I27,(IF($S$1="NOVOgen WHITE Light Alternatif",'Standard NW Li Alt'!I27,IF($S$1="NOVOgen WHITE Cages",'Standard NW Cl Ca'!I27,IF($S$1="NOVOgen WHITE Light Cages",'Standard NW Li Ca'!I27,"")))))</f>
        <v/>
      </c>
      <c r="J27" s="14" t="str">
        <f>IF($S$1="NOVOgen WHITE Alternatif",'Standard NW Cl Alt'!J27,(IF($S$1="NOVOgen WHITE Light Alternatif",'Standard NW Li Alt'!J27,IF($S$1="NOVOgen WHITE Cages",'Standard NW Cl Ca'!J27,IF($S$1="NOVOgen WHITE Light Cages",'Standard NW Li Ca'!J27,"")))))</f>
        <v/>
      </c>
      <c r="K27" s="15" t="str">
        <f>IF($S$1="NOVOgen WHITE Alternatif",'Standard NW Cl Alt'!K27,(IF($S$1="NOVOgen WHITE Light Alternatif",'Standard NW Li Alt'!K27,IF($S$1="NOVOgen WHITE Cages",'Standard NW Cl Ca'!K27,IF($S$1="NOVOgen WHITE Light Cages",'Standard NW Li Ca'!K27,"")))))</f>
        <v/>
      </c>
      <c r="L27" s="13" t="str">
        <f>IF($S$1="NOVOgen WHITE Alternatif",'Standard NW Cl Alt'!L27,(IF($S$1="NOVOgen WHITE Light Alternatif",'Standard NW Li Alt'!L27,IF($S$1="NOVOgen WHITE Cages",'Standard NW Cl Ca'!L27,IF($S$1="NOVOgen WHITE Light Cages",'Standard NW Li Ca'!L27,"")))))</f>
        <v/>
      </c>
    </row>
    <row r="28" spans="1:17" ht="15" customHeight="1" x14ac:dyDescent="0.2">
      <c r="A28" s="10">
        <v>38</v>
      </c>
      <c r="B28" s="13" t="str">
        <f>IF($S$1="NOVOgen WHITE Alternatif",'Standard NW Cl Alt'!B28,(IF($S$1="NOVOgen WHITE Light Alternatif",'Standard NW Li Alt'!B28,IF($S$1="NOVOgen WHITE Cages",'Standard NW Cl Ca'!B28,IF($S$1="NOVOgen WHITE Light Cages",'Standard NW Li Ca'!B28,"")))))</f>
        <v/>
      </c>
      <c r="C28" s="13" t="str">
        <f>IF($S$1="NOVOgen WHITE Alternatif",'Standard NW Cl Alt'!C28,(IF($S$1="NOVOgen WHITE Light Alternatif",'Standard NW Li Alt'!C28,IF($S$1="NOVOgen WHITE Cages",'Standard NW Cl Ca'!C28,IF($S$1="NOVOgen WHITE Light Cages",'Standard NW Li Ca'!C28,"")))))</f>
        <v/>
      </c>
      <c r="D28" s="13" t="str">
        <f>IF($S$1="NOVOgen WHITE Alternatif",'Standard NW Cl Alt'!D28,(IF($S$1="NOVOgen WHITE Light Alternatif",'Standard NW Li Alt'!D28,IF($S$1="NOVOgen WHITE Cages",'Standard NW Cl Ca'!D28,IF($S$1="NOVOgen WHITE Light Cages",'Standard NW Li Ca'!D28,"")))))</f>
        <v/>
      </c>
      <c r="E28" s="14" t="str">
        <f>IF($S$1="NOVOgen WHITE Alternatif",'Standard NW Cl Alt'!E28,(IF($S$1="NOVOgen WHITE Light Alternatif",'Standard NW Li Alt'!E28,IF($S$1="NOVOgen WHITE Cages",'Standard NW Cl Ca'!E28,IF($S$1="NOVOgen WHITE Light Cages",'Standard NW Li Ca'!E28,"")))))</f>
        <v/>
      </c>
      <c r="F28" s="13" t="str">
        <f>IF($S$1="NOVOgen WHITE Alternatif",'Standard NW Cl Alt'!F28,(IF($S$1="NOVOgen WHITE Light Alternatif",'Standard NW Li Alt'!F28,IF($S$1="NOVOgen WHITE Cages",'Standard NW Cl Ca'!F28,IF($S$1="NOVOgen WHITE Light Cages",'Standard NW Li Ca'!F28,"")))))</f>
        <v/>
      </c>
      <c r="G28" s="14" t="str">
        <f>IF($S$1="NOVOgen WHITE Alternatif",'Standard NW Cl Alt'!G28,(IF($S$1="NOVOgen WHITE Light Alternatif",'Standard NW Li Alt'!G28,IF($S$1="NOVOgen WHITE Cages",'Standard NW Cl Ca'!G28,IF($S$1="NOVOgen WHITE Light Cages",'Standard NW Li Ca'!G28,"")))))</f>
        <v/>
      </c>
      <c r="H28" s="13" t="str">
        <f>IF($S$1="NOVOgen WHITE Alternatif",'Standard NW Cl Alt'!H28,(IF($S$1="NOVOgen WHITE Light Alternatif",'Standard NW Li Alt'!H28,IF($S$1="NOVOgen WHITE Cages",'Standard NW Cl Ca'!H28,IF($S$1="NOVOgen WHITE Light Cages",'Standard NW Li Ca'!H28,"")))))</f>
        <v/>
      </c>
      <c r="I28" s="13" t="str">
        <f>IF($S$1="NOVOgen WHITE Alternatif",'Standard NW Cl Alt'!I28,(IF($S$1="NOVOgen WHITE Light Alternatif",'Standard NW Li Alt'!I28,IF($S$1="NOVOgen WHITE Cages",'Standard NW Cl Ca'!I28,IF($S$1="NOVOgen WHITE Light Cages",'Standard NW Li Ca'!I28,"")))))</f>
        <v/>
      </c>
      <c r="J28" s="14" t="str">
        <f>IF($S$1="NOVOgen WHITE Alternatif",'Standard NW Cl Alt'!J28,(IF($S$1="NOVOgen WHITE Light Alternatif",'Standard NW Li Alt'!J28,IF($S$1="NOVOgen WHITE Cages",'Standard NW Cl Ca'!J28,IF($S$1="NOVOgen WHITE Light Cages",'Standard NW Li Ca'!J28,"")))))</f>
        <v/>
      </c>
      <c r="K28" s="15" t="str">
        <f>IF($S$1="NOVOgen WHITE Alternatif",'Standard NW Cl Alt'!K28,(IF($S$1="NOVOgen WHITE Light Alternatif",'Standard NW Li Alt'!K28,IF($S$1="NOVOgen WHITE Cages",'Standard NW Cl Ca'!K28,IF($S$1="NOVOgen WHITE Light Cages",'Standard NW Li Ca'!K28,"")))))</f>
        <v/>
      </c>
      <c r="L28" s="13" t="str">
        <f>IF($S$1="NOVOgen WHITE Alternatif",'Standard NW Cl Alt'!L28,(IF($S$1="NOVOgen WHITE Light Alternatif",'Standard NW Li Alt'!L28,IF($S$1="NOVOgen WHITE Cages",'Standard NW Cl Ca'!L28,IF($S$1="NOVOgen WHITE Light Cages",'Standard NW Li Ca'!L28,"")))))</f>
        <v/>
      </c>
    </row>
    <row r="29" spans="1:17" ht="15" customHeight="1" x14ac:dyDescent="0.2">
      <c r="A29" s="10">
        <v>39</v>
      </c>
      <c r="B29" s="13" t="str">
        <f>IF($S$1="NOVOgen WHITE Alternatif",'Standard NW Cl Alt'!B29,(IF($S$1="NOVOgen WHITE Light Alternatif",'Standard NW Li Alt'!B29,IF($S$1="NOVOgen WHITE Cages",'Standard NW Cl Ca'!B29,IF($S$1="NOVOgen WHITE Light Cages",'Standard NW Li Ca'!B29,"")))))</f>
        <v/>
      </c>
      <c r="C29" s="13" t="str">
        <f>IF($S$1="NOVOgen WHITE Alternatif",'Standard NW Cl Alt'!C29,(IF($S$1="NOVOgen WHITE Light Alternatif",'Standard NW Li Alt'!C29,IF($S$1="NOVOgen WHITE Cages",'Standard NW Cl Ca'!C29,IF($S$1="NOVOgen WHITE Light Cages",'Standard NW Li Ca'!C29,"")))))</f>
        <v/>
      </c>
      <c r="D29" s="13" t="str">
        <f>IF($S$1="NOVOgen WHITE Alternatif",'Standard NW Cl Alt'!D29,(IF($S$1="NOVOgen WHITE Light Alternatif",'Standard NW Li Alt'!D29,IF($S$1="NOVOgen WHITE Cages",'Standard NW Cl Ca'!D29,IF($S$1="NOVOgen WHITE Light Cages",'Standard NW Li Ca'!D29,"")))))</f>
        <v/>
      </c>
      <c r="E29" s="14" t="str">
        <f>IF($S$1="NOVOgen WHITE Alternatif",'Standard NW Cl Alt'!E29,(IF($S$1="NOVOgen WHITE Light Alternatif",'Standard NW Li Alt'!E29,IF($S$1="NOVOgen WHITE Cages",'Standard NW Cl Ca'!E29,IF($S$1="NOVOgen WHITE Light Cages",'Standard NW Li Ca'!E29,"")))))</f>
        <v/>
      </c>
      <c r="F29" s="13" t="str">
        <f>IF($S$1="NOVOgen WHITE Alternatif",'Standard NW Cl Alt'!F29,(IF($S$1="NOVOgen WHITE Light Alternatif",'Standard NW Li Alt'!F29,IF($S$1="NOVOgen WHITE Cages",'Standard NW Cl Ca'!F29,IF($S$1="NOVOgen WHITE Light Cages",'Standard NW Li Ca'!F29,"")))))</f>
        <v/>
      </c>
      <c r="G29" s="14" t="str">
        <f>IF($S$1="NOVOgen WHITE Alternatif",'Standard NW Cl Alt'!G29,(IF($S$1="NOVOgen WHITE Light Alternatif",'Standard NW Li Alt'!G29,IF($S$1="NOVOgen WHITE Cages",'Standard NW Cl Ca'!G29,IF($S$1="NOVOgen WHITE Light Cages",'Standard NW Li Ca'!G29,"")))))</f>
        <v/>
      </c>
      <c r="H29" s="13" t="str">
        <f>IF($S$1="NOVOgen WHITE Alternatif",'Standard NW Cl Alt'!H29,(IF($S$1="NOVOgen WHITE Light Alternatif",'Standard NW Li Alt'!H29,IF($S$1="NOVOgen WHITE Cages",'Standard NW Cl Ca'!H29,IF($S$1="NOVOgen WHITE Light Cages",'Standard NW Li Ca'!H29,"")))))</f>
        <v/>
      </c>
      <c r="I29" s="13" t="str">
        <f>IF($S$1="NOVOgen WHITE Alternatif",'Standard NW Cl Alt'!I29,(IF($S$1="NOVOgen WHITE Light Alternatif",'Standard NW Li Alt'!I29,IF($S$1="NOVOgen WHITE Cages",'Standard NW Cl Ca'!I29,IF($S$1="NOVOgen WHITE Light Cages",'Standard NW Li Ca'!I29,"")))))</f>
        <v/>
      </c>
      <c r="J29" s="14" t="str">
        <f>IF($S$1="NOVOgen WHITE Alternatif",'Standard NW Cl Alt'!J29,(IF($S$1="NOVOgen WHITE Light Alternatif",'Standard NW Li Alt'!J29,IF($S$1="NOVOgen WHITE Cages",'Standard NW Cl Ca'!J29,IF($S$1="NOVOgen WHITE Light Cages",'Standard NW Li Ca'!J29,"")))))</f>
        <v/>
      </c>
      <c r="K29" s="15" t="str">
        <f>IF($S$1="NOVOgen WHITE Alternatif",'Standard NW Cl Alt'!K29,(IF($S$1="NOVOgen WHITE Light Alternatif",'Standard NW Li Alt'!K29,IF($S$1="NOVOgen WHITE Cages",'Standard NW Cl Ca'!K29,IF($S$1="NOVOgen WHITE Light Cages",'Standard NW Li Ca'!K29,"")))))</f>
        <v/>
      </c>
      <c r="L29" s="13" t="str">
        <f>IF($S$1="NOVOgen WHITE Alternatif",'Standard NW Cl Alt'!L29,(IF($S$1="NOVOgen WHITE Light Alternatif",'Standard NW Li Alt'!L29,IF($S$1="NOVOgen WHITE Cages",'Standard NW Cl Ca'!L29,IF($S$1="NOVOgen WHITE Light Cages",'Standard NW Li Ca'!L29,"")))))</f>
        <v/>
      </c>
    </row>
    <row r="30" spans="1:17" ht="15" customHeight="1" x14ac:dyDescent="0.2">
      <c r="A30" s="16">
        <v>40</v>
      </c>
      <c r="B30" s="17" t="str">
        <f>IF($S$1="NOVOgen WHITE Alternatif",'Standard NW Cl Alt'!B30,(IF($S$1="NOVOgen WHITE Light Alternatif",'Standard NW Li Alt'!B30,IF($S$1="NOVOgen WHITE Cages",'Standard NW Cl Ca'!B30,IF($S$1="NOVOgen WHITE Light Cages",'Standard NW Li Ca'!B30,"")))))</f>
        <v/>
      </c>
      <c r="C30" s="17" t="str">
        <f>IF($S$1="NOVOgen WHITE Alternatif",'Standard NW Cl Alt'!C30,(IF($S$1="NOVOgen WHITE Light Alternatif",'Standard NW Li Alt'!C30,IF($S$1="NOVOgen WHITE Cages",'Standard NW Cl Ca'!C30,IF($S$1="NOVOgen WHITE Light Cages",'Standard NW Li Ca'!C30,"")))))</f>
        <v/>
      </c>
      <c r="D30" s="17" t="str">
        <f>IF($S$1="NOVOgen WHITE Alternatif",'Standard NW Cl Alt'!D30,(IF($S$1="NOVOgen WHITE Light Alternatif",'Standard NW Li Alt'!D30,IF($S$1="NOVOgen WHITE Cages",'Standard NW Cl Ca'!D30,IF($S$1="NOVOgen WHITE Light Cages",'Standard NW Li Ca'!D30,"")))))</f>
        <v/>
      </c>
      <c r="E30" s="18" t="str">
        <f>IF($S$1="NOVOgen WHITE Alternatif",'Standard NW Cl Alt'!E30,(IF($S$1="NOVOgen WHITE Light Alternatif",'Standard NW Li Alt'!E30,IF($S$1="NOVOgen WHITE Cages",'Standard NW Cl Ca'!E30,IF($S$1="NOVOgen WHITE Light Cages",'Standard NW Li Ca'!E30,"")))))</f>
        <v/>
      </c>
      <c r="F30" s="17" t="str">
        <f>IF($S$1="NOVOgen WHITE Alternatif",'Standard NW Cl Alt'!F30,(IF($S$1="NOVOgen WHITE Light Alternatif",'Standard NW Li Alt'!F30,IF($S$1="NOVOgen WHITE Cages",'Standard NW Cl Ca'!F30,IF($S$1="NOVOgen WHITE Light Cages",'Standard NW Li Ca'!F30,"")))))</f>
        <v/>
      </c>
      <c r="G30" s="18" t="str">
        <f>IF($S$1="NOVOgen WHITE Alternatif",'Standard NW Cl Alt'!G30,(IF($S$1="NOVOgen WHITE Light Alternatif",'Standard NW Li Alt'!G30,IF($S$1="NOVOgen WHITE Cages",'Standard NW Cl Ca'!G30,IF($S$1="NOVOgen WHITE Light Cages",'Standard NW Li Ca'!G30,"")))))</f>
        <v/>
      </c>
      <c r="H30" s="17" t="str">
        <f>IF($S$1="NOVOgen WHITE Alternatif",'Standard NW Cl Alt'!H30,(IF($S$1="NOVOgen WHITE Light Alternatif",'Standard NW Li Alt'!H30,IF($S$1="NOVOgen WHITE Cages",'Standard NW Cl Ca'!H30,IF($S$1="NOVOgen WHITE Light Cages",'Standard NW Li Ca'!H30,"")))))</f>
        <v/>
      </c>
      <c r="I30" s="17" t="str">
        <f>IF($S$1="NOVOgen WHITE Alternatif",'Standard NW Cl Alt'!I30,(IF($S$1="NOVOgen WHITE Light Alternatif",'Standard NW Li Alt'!I30,IF($S$1="NOVOgen WHITE Cages",'Standard NW Cl Ca'!I30,IF($S$1="NOVOgen WHITE Light Cages",'Standard NW Li Ca'!I30,"")))))</f>
        <v/>
      </c>
      <c r="J30" s="18" t="str">
        <f>IF($S$1="NOVOgen WHITE Alternatif",'Standard NW Cl Alt'!J30,(IF($S$1="NOVOgen WHITE Light Alternatif",'Standard NW Li Alt'!J30,IF($S$1="NOVOgen WHITE Cages",'Standard NW Cl Ca'!J30,IF($S$1="NOVOgen WHITE Light Cages",'Standard NW Li Ca'!J30,"")))))</f>
        <v/>
      </c>
      <c r="K30" s="19" t="str">
        <f>IF($S$1="NOVOgen WHITE Alternatif",'Standard NW Cl Alt'!K30,(IF($S$1="NOVOgen WHITE Light Alternatif",'Standard NW Li Alt'!K30,IF($S$1="NOVOgen WHITE Cages",'Standard NW Cl Ca'!K30,IF($S$1="NOVOgen WHITE Light Cages",'Standard NW Li Ca'!K30,"")))))</f>
        <v/>
      </c>
      <c r="L30" s="17" t="str">
        <f>IF($S$1="NOVOgen WHITE Alternatif",'Standard NW Cl Alt'!L30,(IF($S$1="NOVOgen WHITE Light Alternatif",'Standard NW Li Alt'!L30,IF($S$1="NOVOgen WHITE Cages",'Standard NW Cl Ca'!L30,IF($S$1="NOVOgen WHITE Light Cages",'Standard NW Li Ca'!L30,"")))))</f>
        <v/>
      </c>
    </row>
    <row r="31" spans="1:17" ht="15" customHeight="1" x14ac:dyDescent="0.2">
      <c r="A31" s="10">
        <v>41</v>
      </c>
      <c r="B31" s="13" t="str">
        <f>IF($S$1="NOVOgen WHITE Alternatif",'Standard NW Cl Alt'!B31,(IF($S$1="NOVOgen WHITE Light Alternatif",'Standard NW Li Alt'!B31,IF($S$1="NOVOgen WHITE Cages",'Standard NW Cl Ca'!B31,IF($S$1="NOVOgen WHITE Light Cages",'Standard NW Li Ca'!B31,"")))))</f>
        <v/>
      </c>
      <c r="C31" s="13" t="str">
        <f>IF($S$1="NOVOgen WHITE Alternatif",'Standard NW Cl Alt'!C31,(IF($S$1="NOVOgen WHITE Light Alternatif",'Standard NW Li Alt'!C31,IF($S$1="NOVOgen WHITE Cages",'Standard NW Cl Ca'!C31,IF($S$1="NOVOgen WHITE Light Cages",'Standard NW Li Ca'!C31,"")))))</f>
        <v/>
      </c>
      <c r="D31" s="13" t="str">
        <f>IF($S$1="NOVOgen WHITE Alternatif",'Standard NW Cl Alt'!D31,(IF($S$1="NOVOgen WHITE Light Alternatif",'Standard NW Li Alt'!D31,IF($S$1="NOVOgen WHITE Cages",'Standard NW Cl Ca'!D31,IF($S$1="NOVOgen WHITE Light Cages",'Standard NW Li Ca'!D31,"")))))</f>
        <v/>
      </c>
      <c r="E31" s="14" t="str">
        <f>IF($S$1="NOVOgen WHITE Alternatif",'Standard NW Cl Alt'!E31,(IF($S$1="NOVOgen WHITE Light Alternatif",'Standard NW Li Alt'!E31,IF($S$1="NOVOgen WHITE Cages",'Standard NW Cl Ca'!E31,IF($S$1="NOVOgen WHITE Light Cages",'Standard NW Li Ca'!E31,"")))))</f>
        <v/>
      </c>
      <c r="F31" s="13" t="str">
        <f>IF($S$1="NOVOgen WHITE Alternatif",'Standard NW Cl Alt'!F31,(IF($S$1="NOVOgen WHITE Light Alternatif",'Standard NW Li Alt'!F31,IF($S$1="NOVOgen WHITE Cages",'Standard NW Cl Ca'!F31,IF($S$1="NOVOgen WHITE Light Cages",'Standard NW Li Ca'!F31,"")))))</f>
        <v/>
      </c>
      <c r="G31" s="14" t="str">
        <f>IF($S$1="NOVOgen WHITE Alternatif",'Standard NW Cl Alt'!G31,(IF($S$1="NOVOgen WHITE Light Alternatif",'Standard NW Li Alt'!G31,IF($S$1="NOVOgen WHITE Cages",'Standard NW Cl Ca'!G31,IF($S$1="NOVOgen WHITE Light Cages",'Standard NW Li Ca'!G31,"")))))</f>
        <v/>
      </c>
      <c r="H31" s="13" t="str">
        <f>IF($S$1="NOVOgen WHITE Alternatif",'Standard NW Cl Alt'!H31,(IF($S$1="NOVOgen WHITE Light Alternatif",'Standard NW Li Alt'!H31,IF($S$1="NOVOgen WHITE Cages",'Standard NW Cl Ca'!H31,IF($S$1="NOVOgen WHITE Light Cages",'Standard NW Li Ca'!H31,"")))))</f>
        <v/>
      </c>
      <c r="I31" s="13" t="str">
        <f>IF($S$1="NOVOgen WHITE Alternatif",'Standard NW Cl Alt'!I31,(IF($S$1="NOVOgen WHITE Light Alternatif",'Standard NW Li Alt'!I31,IF($S$1="NOVOgen WHITE Cages",'Standard NW Cl Ca'!I31,IF($S$1="NOVOgen WHITE Light Cages",'Standard NW Li Ca'!I31,"")))))</f>
        <v/>
      </c>
      <c r="J31" s="14" t="str">
        <f>IF($S$1="NOVOgen WHITE Alternatif",'Standard NW Cl Alt'!J31,(IF($S$1="NOVOgen WHITE Light Alternatif",'Standard NW Li Alt'!J31,IF($S$1="NOVOgen WHITE Cages",'Standard NW Cl Ca'!J31,IF($S$1="NOVOgen WHITE Light Cages",'Standard NW Li Ca'!J31,"")))))</f>
        <v/>
      </c>
      <c r="K31" s="15" t="str">
        <f>IF($S$1="NOVOgen WHITE Alternatif",'Standard NW Cl Alt'!K31,(IF($S$1="NOVOgen WHITE Light Alternatif",'Standard NW Li Alt'!K31,IF($S$1="NOVOgen WHITE Cages",'Standard NW Cl Ca'!K31,IF($S$1="NOVOgen WHITE Light Cages",'Standard NW Li Ca'!K31,"")))))</f>
        <v/>
      </c>
      <c r="L31" s="13" t="str">
        <f>IF($S$1="NOVOgen WHITE Alternatif",'Standard NW Cl Alt'!L31,(IF($S$1="NOVOgen WHITE Light Alternatif",'Standard NW Li Alt'!L31,IF($S$1="NOVOgen WHITE Cages",'Standard NW Cl Ca'!L31,IF($S$1="NOVOgen WHITE Light Cages",'Standard NW Li Ca'!L31,"")))))</f>
        <v/>
      </c>
    </row>
    <row r="32" spans="1:17" ht="15" customHeight="1" x14ac:dyDescent="0.2">
      <c r="A32" s="10">
        <v>42</v>
      </c>
      <c r="B32" s="13" t="str">
        <f>IF($S$1="NOVOgen WHITE Alternatif",'Standard NW Cl Alt'!B32,(IF($S$1="NOVOgen WHITE Light Alternatif",'Standard NW Li Alt'!B32,IF($S$1="NOVOgen WHITE Cages",'Standard NW Cl Ca'!B32,IF($S$1="NOVOgen WHITE Light Cages",'Standard NW Li Ca'!B32,"")))))</f>
        <v/>
      </c>
      <c r="C32" s="13" t="str">
        <f>IF($S$1="NOVOgen WHITE Alternatif",'Standard NW Cl Alt'!C32,(IF($S$1="NOVOgen WHITE Light Alternatif",'Standard NW Li Alt'!C32,IF($S$1="NOVOgen WHITE Cages",'Standard NW Cl Ca'!C32,IF($S$1="NOVOgen WHITE Light Cages",'Standard NW Li Ca'!C32,"")))))</f>
        <v/>
      </c>
      <c r="D32" s="13" t="str">
        <f>IF($S$1="NOVOgen WHITE Alternatif",'Standard NW Cl Alt'!D32,(IF($S$1="NOVOgen WHITE Light Alternatif",'Standard NW Li Alt'!D32,IF($S$1="NOVOgen WHITE Cages",'Standard NW Cl Ca'!D32,IF($S$1="NOVOgen WHITE Light Cages",'Standard NW Li Ca'!D32,"")))))</f>
        <v/>
      </c>
      <c r="E32" s="14" t="str">
        <f>IF($S$1="NOVOgen WHITE Alternatif",'Standard NW Cl Alt'!E32,(IF($S$1="NOVOgen WHITE Light Alternatif",'Standard NW Li Alt'!E32,IF($S$1="NOVOgen WHITE Cages",'Standard NW Cl Ca'!E32,IF($S$1="NOVOgen WHITE Light Cages",'Standard NW Li Ca'!E32,"")))))</f>
        <v/>
      </c>
      <c r="F32" s="13" t="str">
        <f>IF($S$1="NOVOgen WHITE Alternatif",'Standard NW Cl Alt'!F32,(IF($S$1="NOVOgen WHITE Light Alternatif",'Standard NW Li Alt'!F32,IF($S$1="NOVOgen WHITE Cages",'Standard NW Cl Ca'!F32,IF($S$1="NOVOgen WHITE Light Cages",'Standard NW Li Ca'!F32,"")))))</f>
        <v/>
      </c>
      <c r="G32" s="14" t="str">
        <f>IF($S$1="NOVOgen WHITE Alternatif",'Standard NW Cl Alt'!G32,(IF($S$1="NOVOgen WHITE Light Alternatif",'Standard NW Li Alt'!G32,IF($S$1="NOVOgen WHITE Cages",'Standard NW Cl Ca'!G32,IF($S$1="NOVOgen WHITE Light Cages",'Standard NW Li Ca'!G32,"")))))</f>
        <v/>
      </c>
      <c r="H32" s="13" t="str">
        <f>IF($S$1="NOVOgen WHITE Alternatif",'Standard NW Cl Alt'!H32,(IF($S$1="NOVOgen WHITE Light Alternatif",'Standard NW Li Alt'!H32,IF($S$1="NOVOgen WHITE Cages",'Standard NW Cl Ca'!H32,IF($S$1="NOVOgen WHITE Light Cages",'Standard NW Li Ca'!H32,"")))))</f>
        <v/>
      </c>
      <c r="I32" s="13" t="str">
        <f>IF($S$1="NOVOgen WHITE Alternatif",'Standard NW Cl Alt'!I32,(IF($S$1="NOVOgen WHITE Light Alternatif",'Standard NW Li Alt'!I32,IF($S$1="NOVOgen WHITE Cages",'Standard NW Cl Ca'!I32,IF($S$1="NOVOgen WHITE Light Cages",'Standard NW Li Ca'!I32,"")))))</f>
        <v/>
      </c>
      <c r="J32" s="14" t="str">
        <f>IF($S$1="NOVOgen WHITE Alternatif",'Standard NW Cl Alt'!J32,(IF($S$1="NOVOgen WHITE Light Alternatif",'Standard NW Li Alt'!J32,IF($S$1="NOVOgen WHITE Cages",'Standard NW Cl Ca'!J32,IF($S$1="NOVOgen WHITE Light Cages",'Standard NW Li Ca'!J32,"")))))</f>
        <v/>
      </c>
      <c r="K32" s="15" t="str">
        <f>IF($S$1="NOVOgen WHITE Alternatif",'Standard NW Cl Alt'!K32,(IF($S$1="NOVOgen WHITE Light Alternatif",'Standard NW Li Alt'!K32,IF($S$1="NOVOgen WHITE Cages",'Standard NW Cl Ca'!K32,IF($S$1="NOVOgen WHITE Light Cages",'Standard NW Li Ca'!K32,"")))))</f>
        <v/>
      </c>
      <c r="L32" s="13" t="str">
        <f>IF($S$1="NOVOgen WHITE Alternatif",'Standard NW Cl Alt'!L32,(IF($S$1="NOVOgen WHITE Light Alternatif",'Standard NW Li Alt'!L32,IF($S$1="NOVOgen WHITE Cages",'Standard NW Cl Ca'!L32,IF($S$1="NOVOgen WHITE Light Cages",'Standard NW Li Ca'!L32,"")))))</f>
        <v/>
      </c>
    </row>
    <row r="33" spans="1:12" ht="15" customHeight="1" x14ac:dyDescent="0.2">
      <c r="A33" s="10">
        <v>43</v>
      </c>
      <c r="B33" s="13" t="str">
        <f>IF($S$1="NOVOgen WHITE Alternatif",'Standard NW Cl Alt'!B33,(IF($S$1="NOVOgen WHITE Light Alternatif",'Standard NW Li Alt'!B33,IF($S$1="NOVOgen WHITE Cages",'Standard NW Cl Ca'!B33,IF($S$1="NOVOgen WHITE Light Cages",'Standard NW Li Ca'!B33,"")))))</f>
        <v/>
      </c>
      <c r="C33" s="13" t="str">
        <f>IF($S$1="NOVOgen WHITE Alternatif",'Standard NW Cl Alt'!C33,(IF($S$1="NOVOgen WHITE Light Alternatif",'Standard NW Li Alt'!C33,IF($S$1="NOVOgen WHITE Cages",'Standard NW Cl Ca'!C33,IF($S$1="NOVOgen WHITE Light Cages",'Standard NW Li Ca'!C33,"")))))</f>
        <v/>
      </c>
      <c r="D33" s="13" t="str">
        <f>IF($S$1="NOVOgen WHITE Alternatif",'Standard NW Cl Alt'!D33,(IF($S$1="NOVOgen WHITE Light Alternatif",'Standard NW Li Alt'!D33,IF($S$1="NOVOgen WHITE Cages",'Standard NW Cl Ca'!D33,IF($S$1="NOVOgen WHITE Light Cages",'Standard NW Li Ca'!D33,"")))))</f>
        <v/>
      </c>
      <c r="E33" s="14" t="str">
        <f>IF($S$1="NOVOgen WHITE Alternatif",'Standard NW Cl Alt'!E33,(IF($S$1="NOVOgen WHITE Light Alternatif",'Standard NW Li Alt'!E33,IF($S$1="NOVOgen WHITE Cages",'Standard NW Cl Ca'!E33,IF($S$1="NOVOgen WHITE Light Cages",'Standard NW Li Ca'!E33,"")))))</f>
        <v/>
      </c>
      <c r="F33" s="13" t="str">
        <f>IF($S$1="NOVOgen WHITE Alternatif",'Standard NW Cl Alt'!F33,(IF($S$1="NOVOgen WHITE Light Alternatif",'Standard NW Li Alt'!F33,IF($S$1="NOVOgen WHITE Cages",'Standard NW Cl Ca'!F33,IF($S$1="NOVOgen WHITE Light Cages",'Standard NW Li Ca'!F33,"")))))</f>
        <v/>
      </c>
      <c r="G33" s="14" t="str">
        <f>IF($S$1="NOVOgen WHITE Alternatif",'Standard NW Cl Alt'!G33,(IF($S$1="NOVOgen WHITE Light Alternatif",'Standard NW Li Alt'!G33,IF($S$1="NOVOgen WHITE Cages",'Standard NW Cl Ca'!G33,IF($S$1="NOVOgen WHITE Light Cages",'Standard NW Li Ca'!G33,"")))))</f>
        <v/>
      </c>
      <c r="H33" s="13" t="str">
        <f>IF($S$1="NOVOgen WHITE Alternatif",'Standard NW Cl Alt'!H33,(IF($S$1="NOVOgen WHITE Light Alternatif",'Standard NW Li Alt'!H33,IF($S$1="NOVOgen WHITE Cages",'Standard NW Cl Ca'!H33,IF($S$1="NOVOgen WHITE Light Cages",'Standard NW Li Ca'!H33,"")))))</f>
        <v/>
      </c>
      <c r="I33" s="13" t="str">
        <f>IF($S$1="NOVOgen WHITE Alternatif",'Standard NW Cl Alt'!I33,(IF($S$1="NOVOgen WHITE Light Alternatif",'Standard NW Li Alt'!I33,IF($S$1="NOVOgen WHITE Cages",'Standard NW Cl Ca'!I33,IF($S$1="NOVOgen WHITE Light Cages",'Standard NW Li Ca'!I33,"")))))</f>
        <v/>
      </c>
      <c r="J33" s="14" t="str">
        <f>IF($S$1="NOVOgen WHITE Alternatif",'Standard NW Cl Alt'!J33,(IF($S$1="NOVOgen WHITE Light Alternatif",'Standard NW Li Alt'!J33,IF($S$1="NOVOgen WHITE Cages",'Standard NW Cl Ca'!J33,IF($S$1="NOVOgen WHITE Light Cages",'Standard NW Li Ca'!J33,"")))))</f>
        <v/>
      </c>
      <c r="K33" s="15" t="str">
        <f>IF($S$1="NOVOgen WHITE Alternatif",'Standard NW Cl Alt'!K33,(IF($S$1="NOVOgen WHITE Light Alternatif",'Standard NW Li Alt'!K33,IF($S$1="NOVOgen WHITE Cages",'Standard NW Cl Ca'!K33,IF($S$1="NOVOgen WHITE Light Cages",'Standard NW Li Ca'!K33,"")))))</f>
        <v/>
      </c>
      <c r="L33" s="13" t="str">
        <f>IF($S$1="NOVOgen WHITE Alternatif",'Standard NW Cl Alt'!L33,(IF($S$1="NOVOgen WHITE Light Alternatif",'Standard NW Li Alt'!L33,IF($S$1="NOVOgen WHITE Cages",'Standard NW Cl Ca'!L33,IF($S$1="NOVOgen WHITE Light Cages",'Standard NW Li Ca'!L33,"")))))</f>
        <v/>
      </c>
    </row>
    <row r="34" spans="1:12" ht="15" customHeight="1" x14ac:dyDescent="0.2">
      <c r="A34" s="16">
        <v>44</v>
      </c>
      <c r="B34" s="17" t="str">
        <f>IF($S$1="NOVOgen WHITE Alternatif",'Standard NW Cl Alt'!B34,(IF($S$1="NOVOgen WHITE Light Alternatif",'Standard NW Li Alt'!B34,IF($S$1="NOVOgen WHITE Cages",'Standard NW Cl Ca'!B34,IF($S$1="NOVOgen WHITE Light Cages",'Standard NW Li Ca'!B34,"")))))</f>
        <v/>
      </c>
      <c r="C34" s="17" t="str">
        <f>IF($S$1="NOVOgen WHITE Alternatif",'Standard NW Cl Alt'!C34,(IF($S$1="NOVOgen WHITE Light Alternatif",'Standard NW Li Alt'!C34,IF($S$1="NOVOgen WHITE Cages",'Standard NW Cl Ca'!C34,IF($S$1="NOVOgen WHITE Light Cages",'Standard NW Li Ca'!C34,"")))))</f>
        <v/>
      </c>
      <c r="D34" s="17" t="str">
        <f>IF($S$1="NOVOgen WHITE Alternatif",'Standard NW Cl Alt'!D34,(IF($S$1="NOVOgen WHITE Light Alternatif",'Standard NW Li Alt'!D34,IF($S$1="NOVOgen WHITE Cages",'Standard NW Cl Ca'!D34,IF($S$1="NOVOgen WHITE Light Cages",'Standard NW Li Ca'!D34,"")))))</f>
        <v/>
      </c>
      <c r="E34" s="18" t="str">
        <f>IF($S$1="NOVOgen WHITE Alternatif",'Standard NW Cl Alt'!E34,(IF($S$1="NOVOgen WHITE Light Alternatif",'Standard NW Li Alt'!E34,IF($S$1="NOVOgen WHITE Cages",'Standard NW Cl Ca'!E34,IF($S$1="NOVOgen WHITE Light Cages",'Standard NW Li Ca'!E34,"")))))</f>
        <v/>
      </c>
      <c r="F34" s="17" t="str">
        <f>IF($S$1="NOVOgen WHITE Alternatif",'Standard NW Cl Alt'!F34,(IF($S$1="NOVOgen WHITE Light Alternatif",'Standard NW Li Alt'!F34,IF($S$1="NOVOgen WHITE Cages",'Standard NW Cl Ca'!F34,IF($S$1="NOVOgen WHITE Light Cages",'Standard NW Li Ca'!F34,"")))))</f>
        <v/>
      </c>
      <c r="G34" s="18" t="str">
        <f>IF($S$1="NOVOgen WHITE Alternatif",'Standard NW Cl Alt'!G34,(IF($S$1="NOVOgen WHITE Light Alternatif",'Standard NW Li Alt'!G34,IF($S$1="NOVOgen WHITE Cages",'Standard NW Cl Ca'!G34,IF($S$1="NOVOgen WHITE Light Cages",'Standard NW Li Ca'!G34,"")))))</f>
        <v/>
      </c>
      <c r="H34" s="17" t="str">
        <f>IF($S$1="NOVOgen WHITE Alternatif",'Standard NW Cl Alt'!H34,(IF($S$1="NOVOgen WHITE Light Alternatif",'Standard NW Li Alt'!H34,IF($S$1="NOVOgen WHITE Cages",'Standard NW Cl Ca'!H34,IF($S$1="NOVOgen WHITE Light Cages",'Standard NW Li Ca'!H34,"")))))</f>
        <v/>
      </c>
      <c r="I34" s="17" t="str">
        <f>IF($S$1="NOVOgen WHITE Alternatif",'Standard NW Cl Alt'!I34,(IF($S$1="NOVOgen WHITE Light Alternatif",'Standard NW Li Alt'!I34,IF($S$1="NOVOgen WHITE Cages",'Standard NW Cl Ca'!I34,IF($S$1="NOVOgen WHITE Light Cages",'Standard NW Li Ca'!I34,"")))))</f>
        <v/>
      </c>
      <c r="J34" s="18" t="str">
        <f>IF($S$1="NOVOgen WHITE Alternatif",'Standard NW Cl Alt'!J34,(IF($S$1="NOVOgen WHITE Light Alternatif",'Standard NW Li Alt'!J34,IF($S$1="NOVOgen WHITE Cages",'Standard NW Cl Ca'!J34,IF($S$1="NOVOgen WHITE Light Cages",'Standard NW Li Ca'!J34,"")))))</f>
        <v/>
      </c>
      <c r="K34" s="19" t="str">
        <f>IF($S$1="NOVOgen WHITE Alternatif",'Standard NW Cl Alt'!K34,(IF($S$1="NOVOgen WHITE Light Alternatif",'Standard NW Li Alt'!K34,IF($S$1="NOVOgen WHITE Cages",'Standard NW Cl Ca'!K34,IF($S$1="NOVOgen WHITE Light Cages",'Standard NW Li Ca'!K34,"")))))</f>
        <v/>
      </c>
      <c r="L34" s="17" t="str">
        <f>IF($S$1="NOVOgen WHITE Alternatif",'Standard NW Cl Alt'!L34,(IF($S$1="NOVOgen WHITE Light Alternatif",'Standard NW Li Alt'!L34,IF($S$1="NOVOgen WHITE Cages",'Standard NW Cl Ca'!L34,IF($S$1="NOVOgen WHITE Light Cages",'Standard NW Li Ca'!L34,"")))))</f>
        <v/>
      </c>
    </row>
    <row r="35" spans="1:12" ht="15" customHeight="1" x14ac:dyDescent="0.2">
      <c r="A35" s="10">
        <v>45</v>
      </c>
      <c r="B35" s="13" t="str">
        <f>IF($S$1="NOVOgen WHITE Alternatif",'Standard NW Cl Alt'!B35,(IF($S$1="NOVOgen WHITE Light Alternatif",'Standard NW Li Alt'!B35,IF($S$1="NOVOgen WHITE Cages",'Standard NW Cl Ca'!B35,IF($S$1="NOVOgen WHITE Light Cages",'Standard NW Li Ca'!B35,"")))))</f>
        <v/>
      </c>
      <c r="C35" s="13" t="str">
        <f>IF($S$1="NOVOgen WHITE Alternatif",'Standard NW Cl Alt'!C35,(IF($S$1="NOVOgen WHITE Light Alternatif",'Standard NW Li Alt'!C35,IF($S$1="NOVOgen WHITE Cages",'Standard NW Cl Ca'!C35,IF($S$1="NOVOgen WHITE Light Cages",'Standard NW Li Ca'!C35,"")))))</f>
        <v/>
      </c>
      <c r="D35" s="13" t="str">
        <f>IF($S$1="NOVOgen WHITE Alternatif",'Standard NW Cl Alt'!D35,(IF($S$1="NOVOgen WHITE Light Alternatif",'Standard NW Li Alt'!D35,IF($S$1="NOVOgen WHITE Cages",'Standard NW Cl Ca'!D35,IF($S$1="NOVOgen WHITE Light Cages",'Standard NW Li Ca'!D35,"")))))</f>
        <v/>
      </c>
      <c r="E35" s="14" t="str">
        <f>IF($S$1="NOVOgen WHITE Alternatif",'Standard NW Cl Alt'!E35,(IF($S$1="NOVOgen WHITE Light Alternatif",'Standard NW Li Alt'!E35,IF($S$1="NOVOgen WHITE Cages",'Standard NW Cl Ca'!E35,IF($S$1="NOVOgen WHITE Light Cages",'Standard NW Li Ca'!E35,"")))))</f>
        <v/>
      </c>
      <c r="F35" s="13" t="str">
        <f>IF($S$1="NOVOgen WHITE Alternatif",'Standard NW Cl Alt'!F35,(IF($S$1="NOVOgen WHITE Light Alternatif",'Standard NW Li Alt'!F35,IF($S$1="NOVOgen WHITE Cages",'Standard NW Cl Ca'!F35,IF($S$1="NOVOgen WHITE Light Cages",'Standard NW Li Ca'!F35,"")))))</f>
        <v/>
      </c>
      <c r="G35" s="14" t="str">
        <f>IF($S$1="NOVOgen WHITE Alternatif",'Standard NW Cl Alt'!G35,(IF($S$1="NOVOgen WHITE Light Alternatif",'Standard NW Li Alt'!G35,IF($S$1="NOVOgen WHITE Cages",'Standard NW Cl Ca'!G35,IF($S$1="NOVOgen WHITE Light Cages",'Standard NW Li Ca'!G35,"")))))</f>
        <v/>
      </c>
      <c r="H35" s="13" t="str">
        <f>IF($S$1="NOVOgen WHITE Alternatif",'Standard NW Cl Alt'!H35,(IF($S$1="NOVOgen WHITE Light Alternatif",'Standard NW Li Alt'!H35,IF($S$1="NOVOgen WHITE Cages",'Standard NW Cl Ca'!H35,IF($S$1="NOVOgen WHITE Light Cages",'Standard NW Li Ca'!H35,"")))))</f>
        <v/>
      </c>
      <c r="I35" s="13" t="str">
        <f>IF($S$1="NOVOgen WHITE Alternatif",'Standard NW Cl Alt'!I35,(IF($S$1="NOVOgen WHITE Light Alternatif",'Standard NW Li Alt'!I35,IF($S$1="NOVOgen WHITE Cages",'Standard NW Cl Ca'!I35,IF($S$1="NOVOgen WHITE Light Cages",'Standard NW Li Ca'!I35,"")))))</f>
        <v/>
      </c>
      <c r="J35" s="14" t="str">
        <f>IF($S$1="NOVOgen WHITE Alternatif",'Standard NW Cl Alt'!J35,(IF($S$1="NOVOgen WHITE Light Alternatif",'Standard NW Li Alt'!J35,IF($S$1="NOVOgen WHITE Cages",'Standard NW Cl Ca'!J35,IF($S$1="NOVOgen WHITE Light Cages",'Standard NW Li Ca'!J35,"")))))</f>
        <v/>
      </c>
      <c r="K35" s="15" t="str">
        <f>IF($S$1="NOVOgen WHITE Alternatif",'Standard NW Cl Alt'!K35,(IF($S$1="NOVOgen WHITE Light Alternatif",'Standard NW Li Alt'!K35,IF($S$1="NOVOgen WHITE Cages",'Standard NW Cl Ca'!K35,IF($S$1="NOVOgen WHITE Light Cages",'Standard NW Li Ca'!K35,"")))))</f>
        <v/>
      </c>
      <c r="L35" s="13" t="str">
        <f>IF($S$1="NOVOgen WHITE Alternatif",'Standard NW Cl Alt'!L35,(IF($S$1="NOVOgen WHITE Light Alternatif",'Standard NW Li Alt'!L35,IF($S$1="NOVOgen WHITE Cages",'Standard NW Cl Ca'!L35,IF($S$1="NOVOgen WHITE Light Cages",'Standard NW Li Ca'!L35,"")))))</f>
        <v/>
      </c>
    </row>
    <row r="36" spans="1:12" ht="15" customHeight="1" x14ac:dyDescent="0.2">
      <c r="A36" s="10">
        <v>46</v>
      </c>
      <c r="B36" s="13" t="str">
        <f>IF($S$1="NOVOgen WHITE Alternatif",'Standard NW Cl Alt'!B36,(IF($S$1="NOVOgen WHITE Light Alternatif",'Standard NW Li Alt'!B36,IF($S$1="NOVOgen WHITE Cages",'Standard NW Cl Ca'!B36,IF($S$1="NOVOgen WHITE Light Cages",'Standard NW Li Ca'!B36,"")))))</f>
        <v/>
      </c>
      <c r="C36" s="13" t="str">
        <f>IF($S$1="NOVOgen WHITE Alternatif",'Standard NW Cl Alt'!C36,(IF($S$1="NOVOgen WHITE Light Alternatif",'Standard NW Li Alt'!C36,IF($S$1="NOVOgen WHITE Cages",'Standard NW Cl Ca'!C36,IF($S$1="NOVOgen WHITE Light Cages",'Standard NW Li Ca'!C36,"")))))</f>
        <v/>
      </c>
      <c r="D36" s="13" t="str">
        <f>IF($S$1="NOVOgen WHITE Alternatif",'Standard NW Cl Alt'!D36,(IF($S$1="NOVOgen WHITE Light Alternatif",'Standard NW Li Alt'!D36,IF($S$1="NOVOgen WHITE Cages",'Standard NW Cl Ca'!D36,IF($S$1="NOVOgen WHITE Light Cages",'Standard NW Li Ca'!D36,"")))))</f>
        <v/>
      </c>
      <c r="E36" s="14" t="str">
        <f>IF($S$1="NOVOgen WHITE Alternatif",'Standard NW Cl Alt'!E36,(IF($S$1="NOVOgen WHITE Light Alternatif",'Standard NW Li Alt'!E36,IF($S$1="NOVOgen WHITE Cages",'Standard NW Cl Ca'!E36,IF($S$1="NOVOgen WHITE Light Cages",'Standard NW Li Ca'!E36,"")))))</f>
        <v/>
      </c>
      <c r="F36" s="13" t="str">
        <f>IF($S$1="NOVOgen WHITE Alternatif",'Standard NW Cl Alt'!F36,(IF($S$1="NOVOgen WHITE Light Alternatif",'Standard NW Li Alt'!F36,IF($S$1="NOVOgen WHITE Cages",'Standard NW Cl Ca'!F36,IF($S$1="NOVOgen WHITE Light Cages",'Standard NW Li Ca'!F36,"")))))</f>
        <v/>
      </c>
      <c r="G36" s="14" t="str">
        <f>IF($S$1="NOVOgen WHITE Alternatif",'Standard NW Cl Alt'!G36,(IF($S$1="NOVOgen WHITE Light Alternatif",'Standard NW Li Alt'!G36,IF($S$1="NOVOgen WHITE Cages",'Standard NW Cl Ca'!G36,IF($S$1="NOVOgen WHITE Light Cages",'Standard NW Li Ca'!G36,"")))))</f>
        <v/>
      </c>
      <c r="H36" s="13" t="str">
        <f>IF($S$1="NOVOgen WHITE Alternatif",'Standard NW Cl Alt'!H36,(IF($S$1="NOVOgen WHITE Light Alternatif",'Standard NW Li Alt'!H36,IF($S$1="NOVOgen WHITE Cages",'Standard NW Cl Ca'!H36,IF($S$1="NOVOgen WHITE Light Cages",'Standard NW Li Ca'!H36,"")))))</f>
        <v/>
      </c>
      <c r="I36" s="13" t="str">
        <f>IF($S$1="NOVOgen WHITE Alternatif",'Standard NW Cl Alt'!I36,(IF($S$1="NOVOgen WHITE Light Alternatif",'Standard NW Li Alt'!I36,IF($S$1="NOVOgen WHITE Cages",'Standard NW Cl Ca'!I36,IF($S$1="NOVOgen WHITE Light Cages",'Standard NW Li Ca'!I36,"")))))</f>
        <v/>
      </c>
      <c r="J36" s="14" t="str">
        <f>IF($S$1="NOVOgen WHITE Alternatif",'Standard NW Cl Alt'!J36,(IF($S$1="NOVOgen WHITE Light Alternatif",'Standard NW Li Alt'!J36,IF($S$1="NOVOgen WHITE Cages",'Standard NW Cl Ca'!J36,IF($S$1="NOVOgen WHITE Light Cages",'Standard NW Li Ca'!J36,"")))))</f>
        <v/>
      </c>
      <c r="K36" s="15" t="str">
        <f>IF($S$1="NOVOgen WHITE Alternatif",'Standard NW Cl Alt'!K36,(IF($S$1="NOVOgen WHITE Light Alternatif",'Standard NW Li Alt'!K36,IF($S$1="NOVOgen WHITE Cages",'Standard NW Cl Ca'!K36,IF($S$1="NOVOgen WHITE Light Cages",'Standard NW Li Ca'!K36,"")))))</f>
        <v/>
      </c>
      <c r="L36" s="13" t="str">
        <f>IF($S$1="NOVOgen WHITE Alternatif",'Standard NW Cl Alt'!L36,(IF($S$1="NOVOgen WHITE Light Alternatif",'Standard NW Li Alt'!L36,IF($S$1="NOVOgen WHITE Cages",'Standard NW Cl Ca'!L36,IF($S$1="NOVOgen WHITE Light Cages",'Standard NW Li Ca'!L36,"")))))</f>
        <v/>
      </c>
    </row>
    <row r="37" spans="1:12" ht="15" customHeight="1" x14ac:dyDescent="0.2">
      <c r="A37" s="10">
        <v>47</v>
      </c>
      <c r="B37" s="13" t="str">
        <f>IF($S$1="NOVOgen WHITE Alternatif",'Standard NW Cl Alt'!B37,(IF($S$1="NOVOgen WHITE Light Alternatif",'Standard NW Li Alt'!B37,IF($S$1="NOVOgen WHITE Cages",'Standard NW Cl Ca'!B37,IF($S$1="NOVOgen WHITE Light Cages",'Standard NW Li Ca'!B37,"")))))</f>
        <v/>
      </c>
      <c r="C37" s="13" t="str">
        <f>IF($S$1="NOVOgen WHITE Alternatif",'Standard NW Cl Alt'!C37,(IF($S$1="NOVOgen WHITE Light Alternatif",'Standard NW Li Alt'!C37,IF($S$1="NOVOgen WHITE Cages",'Standard NW Cl Ca'!C37,IF($S$1="NOVOgen WHITE Light Cages",'Standard NW Li Ca'!C37,"")))))</f>
        <v/>
      </c>
      <c r="D37" s="13" t="str">
        <f>IF($S$1="NOVOgen WHITE Alternatif",'Standard NW Cl Alt'!D37,(IF($S$1="NOVOgen WHITE Light Alternatif",'Standard NW Li Alt'!D37,IF($S$1="NOVOgen WHITE Cages",'Standard NW Cl Ca'!D37,IF($S$1="NOVOgen WHITE Light Cages",'Standard NW Li Ca'!D37,"")))))</f>
        <v/>
      </c>
      <c r="E37" s="14" t="str">
        <f>IF($S$1="NOVOgen WHITE Alternatif",'Standard NW Cl Alt'!E37,(IF($S$1="NOVOgen WHITE Light Alternatif",'Standard NW Li Alt'!E37,IF($S$1="NOVOgen WHITE Cages",'Standard NW Cl Ca'!E37,IF($S$1="NOVOgen WHITE Light Cages",'Standard NW Li Ca'!E37,"")))))</f>
        <v/>
      </c>
      <c r="F37" s="13" t="str">
        <f>IF($S$1="NOVOgen WHITE Alternatif",'Standard NW Cl Alt'!F37,(IF($S$1="NOVOgen WHITE Light Alternatif",'Standard NW Li Alt'!F37,IF($S$1="NOVOgen WHITE Cages",'Standard NW Cl Ca'!F37,IF($S$1="NOVOgen WHITE Light Cages",'Standard NW Li Ca'!F37,"")))))</f>
        <v/>
      </c>
      <c r="G37" s="14" t="str">
        <f>IF($S$1="NOVOgen WHITE Alternatif",'Standard NW Cl Alt'!G37,(IF($S$1="NOVOgen WHITE Light Alternatif",'Standard NW Li Alt'!G37,IF($S$1="NOVOgen WHITE Cages",'Standard NW Cl Ca'!G37,IF($S$1="NOVOgen WHITE Light Cages",'Standard NW Li Ca'!G37,"")))))</f>
        <v/>
      </c>
      <c r="H37" s="13" t="str">
        <f>IF($S$1="NOVOgen WHITE Alternatif",'Standard NW Cl Alt'!H37,(IF($S$1="NOVOgen WHITE Light Alternatif",'Standard NW Li Alt'!H37,IF($S$1="NOVOgen WHITE Cages",'Standard NW Cl Ca'!H37,IF($S$1="NOVOgen WHITE Light Cages",'Standard NW Li Ca'!H37,"")))))</f>
        <v/>
      </c>
      <c r="I37" s="13" t="str">
        <f>IF($S$1="NOVOgen WHITE Alternatif",'Standard NW Cl Alt'!I37,(IF($S$1="NOVOgen WHITE Light Alternatif",'Standard NW Li Alt'!I37,IF($S$1="NOVOgen WHITE Cages",'Standard NW Cl Ca'!I37,IF($S$1="NOVOgen WHITE Light Cages",'Standard NW Li Ca'!I37,"")))))</f>
        <v/>
      </c>
      <c r="J37" s="14" t="str">
        <f>IF($S$1="NOVOgen WHITE Alternatif",'Standard NW Cl Alt'!J37,(IF($S$1="NOVOgen WHITE Light Alternatif",'Standard NW Li Alt'!J37,IF($S$1="NOVOgen WHITE Cages",'Standard NW Cl Ca'!J37,IF($S$1="NOVOgen WHITE Light Cages",'Standard NW Li Ca'!J37,"")))))</f>
        <v/>
      </c>
      <c r="K37" s="15" t="str">
        <f>IF($S$1="NOVOgen WHITE Alternatif",'Standard NW Cl Alt'!K37,(IF($S$1="NOVOgen WHITE Light Alternatif",'Standard NW Li Alt'!K37,IF($S$1="NOVOgen WHITE Cages",'Standard NW Cl Ca'!K37,IF($S$1="NOVOgen WHITE Light Cages",'Standard NW Li Ca'!K37,"")))))</f>
        <v/>
      </c>
      <c r="L37" s="13" t="str">
        <f>IF($S$1="NOVOgen WHITE Alternatif",'Standard NW Cl Alt'!L37,(IF($S$1="NOVOgen WHITE Light Alternatif",'Standard NW Li Alt'!L37,IF($S$1="NOVOgen WHITE Cages",'Standard NW Cl Ca'!L37,IF($S$1="NOVOgen WHITE Light Cages",'Standard NW Li Ca'!L37,"")))))</f>
        <v/>
      </c>
    </row>
    <row r="38" spans="1:12" ht="15" customHeight="1" x14ac:dyDescent="0.2">
      <c r="A38" s="16">
        <v>48</v>
      </c>
      <c r="B38" s="17" t="str">
        <f>IF($S$1="NOVOgen WHITE Alternatif",'Standard NW Cl Alt'!B38,(IF($S$1="NOVOgen WHITE Light Alternatif",'Standard NW Li Alt'!B38,IF($S$1="NOVOgen WHITE Cages",'Standard NW Cl Ca'!B38,IF($S$1="NOVOgen WHITE Light Cages",'Standard NW Li Ca'!B38,"")))))</f>
        <v/>
      </c>
      <c r="C38" s="17" t="str">
        <f>IF($S$1="NOVOgen WHITE Alternatif",'Standard NW Cl Alt'!C38,(IF($S$1="NOVOgen WHITE Light Alternatif",'Standard NW Li Alt'!C38,IF($S$1="NOVOgen WHITE Cages",'Standard NW Cl Ca'!C38,IF($S$1="NOVOgen WHITE Light Cages",'Standard NW Li Ca'!C38,"")))))</f>
        <v/>
      </c>
      <c r="D38" s="17" t="str">
        <f>IF($S$1="NOVOgen WHITE Alternatif",'Standard NW Cl Alt'!D38,(IF($S$1="NOVOgen WHITE Light Alternatif",'Standard NW Li Alt'!D38,IF($S$1="NOVOgen WHITE Cages",'Standard NW Cl Ca'!D38,IF($S$1="NOVOgen WHITE Light Cages",'Standard NW Li Ca'!D38,"")))))</f>
        <v/>
      </c>
      <c r="E38" s="18" t="str">
        <f>IF($S$1="NOVOgen WHITE Alternatif",'Standard NW Cl Alt'!E38,(IF($S$1="NOVOgen WHITE Light Alternatif",'Standard NW Li Alt'!E38,IF($S$1="NOVOgen WHITE Cages",'Standard NW Cl Ca'!E38,IF($S$1="NOVOgen WHITE Light Cages",'Standard NW Li Ca'!E38,"")))))</f>
        <v/>
      </c>
      <c r="F38" s="17" t="str">
        <f>IF($S$1="NOVOgen WHITE Alternatif",'Standard NW Cl Alt'!F38,(IF($S$1="NOVOgen WHITE Light Alternatif",'Standard NW Li Alt'!F38,IF($S$1="NOVOgen WHITE Cages",'Standard NW Cl Ca'!F38,IF($S$1="NOVOgen WHITE Light Cages",'Standard NW Li Ca'!F38,"")))))</f>
        <v/>
      </c>
      <c r="G38" s="18" t="str">
        <f>IF($S$1="NOVOgen WHITE Alternatif",'Standard NW Cl Alt'!G38,(IF($S$1="NOVOgen WHITE Light Alternatif",'Standard NW Li Alt'!G38,IF($S$1="NOVOgen WHITE Cages",'Standard NW Cl Ca'!G38,IF($S$1="NOVOgen WHITE Light Cages",'Standard NW Li Ca'!G38,"")))))</f>
        <v/>
      </c>
      <c r="H38" s="17" t="str">
        <f>IF($S$1="NOVOgen WHITE Alternatif",'Standard NW Cl Alt'!H38,(IF($S$1="NOVOgen WHITE Light Alternatif",'Standard NW Li Alt'!H38,IF($S$1="NOVOgen WHITE Cages",'Standard NW Cl Ca'!H38,IF($S$1="NOVOgen WHITE Light Cages",'Standard NW Li Ca'!H38,"")))))</f>
        <v/>
      </c>
      <c r="I38" s="17" t="str">
        <f>IF($S$1="NOVOgen WHITE Alternatif",'Standard NW Cl Alt'!I38,(IF($S$1="NOVOgen WHITE Light Alternatif",'Standard NW Li Alt'!I38,IF($S$1="NOVOgen WHITE Cages",'Standard NW Cl Ca'!I38,IF($S$1="NOVOgen WHITE Light Cages",'Standard NW Li Ca'!I38,"")))))</f>
        <v/>
      </c>
      <c r="J38" s="18" t="str">
        <f>IF($S$1="NOVOgen WHITE Alternatif",'Standard NW Cl Alt'!J38,(IF($S$1="NOVOgen WHITE Light Alternatif",'Standard NW Li Alt'!J38,IF($S$1="NOVOgen WHITE Cages",'Standard NW Cl Ca'!J38,IF($S$1="NOVOgen WHITE Light Cages",'Standard NW Li Ca'!J38,"")))))</f>
        <v/>
      </c>
      <c r="K38" s="19" t="str">
        <f>IF($S$1="NOVOgen WHITE Alternatif",'Standard NW Cl Alt'!K38,(IF($S$1="NOVOgen WHITE Light Alternatif",'Standard NW Li Alt'!K38,IF($S$1="NOVOgen WHITE Cages",'Standard NW Cl Ca'!K38,IF($S$1="NOVOgen WHITE Light Cages",'Standard NW Li Ca'!K38,"")))))</f>
        <v/>
      </c>
      <c r="L38" s="17" t="str">
        <f>IF($S$1="NOVOgen WHITE Alternatif",'Standard NW Cl Alt'!L38,(IF($S$1="NOVOgen WHITE Light Alternatif",'Standard NW Li Alt'!L38,IF($S$1="NOVOgen WHITE Cages",'Standard NW Cl Ca'!L38,IF($S$1="NOVOgen WHITE Light Cages",'Standard NW Li Ca'!L38,"")))))</f>
        <v/>
      </c>
    </row>
    <row r="39" spans="1:12" ht="15" customHeight="1" x14ac:dyDescent="0.2">
      <c r="A39" s="10">
        <v>49</v>
      </c>
      <c r="B39" s="13" t="str">
        <f>IF($S$1="NOVOgen WHITE Alternatif",'Standard NW Cl Alt'!B39,(IF($S$1="NOVOgen WHITE Light Alternatif",'Standard NW Li Alt'!B39,IF($S$1="NOVOgen WHITE Cages",'Standard NW Cl Ca'!B39,IF($S$1="NOVOgen WHITE Light Cages",'Standard NW Li Ca'!B39,"")))))</f>
        <v/>
      </c>
      <c r="C39" s="13" t="str">
        <f>IF($S$1="NOVOgen WHITE Alternatif",'Standard NW Cl Alt'!C39,(IF($S$1="NOVOgen WHITE Light Alternatif",'Standard NW Li Alt'!C39,IF($S$1="NOVOgen WHITE Cages",'Standard NW Cl Ca'!C39,IF($S$1="NOVOgen WHITE Light Cages",'Standard NW Li Ca'!C39,"")))))</f>
        <v/>
      </c>
      <c r="D39" s="13" t="str">
        <f>IF($S$1="NOVOgen WHITE Alternatif",'Standard NW Cl Alt'!D39,(IF($S$1="NOVOgen WHITE Light Alternatif",'Standard NW Li Alt'!D39,IF($S$1="NOVOgen WHITE Cages",'Standard NW Cl Ca'!D39,IF($S$1="NOVOgen WHITE Light Cages",'Standard NW Li Ca'!D39,"")))))</f>
        <v/>
      </c>
      <c r="E39" s="14" t="str">
        <f>IF($S$1="NOVOgen WHITE Alternatif",'Standard NW Cl Alt'!E39,(IF($S$1="NOVOgen WHITE Light Alternatif",'Standard NW Li Alt'!E39,IF($S$1="NOVOgen WHITE Cages",'Standard NW Cl Ca'!E39,IF($S$1="NOVOgen WHITE Light Cages",'Standard NW Li Ca'!E39,"")))))</f>
        <v/>
      </c>
      <c r="F39" s="13" t="str">
        <f>IF($S$1="NOVOgen WHITE Alternatif",'Standard NW Cl Alt'!F39,(IF($S$1="NOVOgen WHITE Light Alternatif",'Standard NW Li Alt'!F39,IF($S$1="NOVOgen WHITE Cages",'Standard NW Cl Ca'!F39,IF($S$1="NOVOgen WHITE Light Cages",'Standard NW Li Ca'!F39,"")))))</f>
        <v/>
      </c>
      <c r="G39" s="14" t="str">
        <f>IF($S$1="NOVOgen WHITE Alternatif",'Standard NW Cl Alt'!G39,(IF($S$1="NOVOgen WHITE Light Alternatif",'Standard NW Li Alt'!G39,IF($S$1="NOVOgen WHITE Cages",'Standard NW Cl Ca'!G39,IF($S$1="NOVOgen WHITE Light Cages",'Standard NW Li Ca'!G39,"")))))</f>
        <v/>
      </c>
      <c r="H39" s="13" t="str">
        <f>IF($S$1="NOVOgen WHITE Alternatif",'Standard NW Cl Alt'!H39,(IF($S$1="NOVOgen WHITE Light Alternatif",'Standard NW Li Alt'!H39,IF($S$1="NOVOgen WHITE Cages",'Standard NW Cl Ca'!H39,IF($S$1="NOVOgen WHITE Light Cages",'Standard NW Li Ca'!H39,"")))))</f>
        <v/>
      </c>
      <c r="I39" s="13" t="str">
        <f>IF($S$1="NOVOgen WHITE Alternatif",'Standard NW Cl Alt'!I39,(IF($S$1="NOVOgen WHITE Light Alternatif",'Standard NW Li Alt'!I39,IF($S$1="NOVOgen WHITE Cages",'Standard NW Cl Ca'!I39,IF($S$1="NOVOgen WHITE Light Cages",'Standard NW Li Ca'!I39,"")))))</f>
        <v/>
      </c>
      <c r="J39" s="14" t="str">
        <f>IF($S$1="NOVOgen WHITE Alternatif",'Standard NW Cl Alt'!J39,(IF($S$1="NOVOgen WHITE Light Alternatif",'Standard NW Li Alt'!J39,IF($S$1="NOVOgen WHITE Cages",'Standard NW Cl Ca'!J39,IF($S$1="NOVOgen WHITE Light Cages",'Standard NW Li Ca'!J39,"")))))</f>
        <v/>
      </c>
      <c r="K39" s="15" t="str">
        <f>IF($S$1="NOVOgen WHITE Alternatif",'Standard NW Cl Alt'!K39,(IF($S$1="NOVOgen WHITE Light Alternatif",'Standard NW Li Alt'!K39,IF($S$1="NOVOgen WHITE Cages",'Standard NW Cl Ca'!K39,IF($S$1="NOVOgen WHITE Light Cages",'Standard NW Li Ca'!K39,"")))))</f>
        <v/>
      </c>
      <c r="L39" s="13" t="str">
        <f>IF($S$1="NOVOgen WHITE Alternatif",'Standard NW Cl Alt'!L39,(IF($S$1="NOVOgen WHITE Light Alternatif",'Standard NW Li Alt'!L39,IF($S$1="NOVOgen WHITE Cages",'Standard NW Cl Ca'!L39,IF($S$1="NOVOgen WHITE Light Cages",'Standard NW Li Ca'!L39,"")))))</f>
        <v/>
      </c>
    </row>
    <row r="40" spans="1:12" ht="15" customHeight="1" x14ac:dyDescent="0.2">
      <c r="A40" s="10">
        <v>50</v>
      </c>
      <c r="B40" s="13" t="str">
        <f>IF($S$1="NOVOgen WHITE Alternatif",'Standard NW Cl Alt'!B40,(IF($S$1="NOVOgen WHITE Light Alternatif",'Standard NW Li Alt'!B40,IF($S$1="NOVOgen WHITE Cages",'Standard NW Cl Ca'!B40,IF($S$1="NOVOgen WHITE Light Cages",'Standard NW Li Ca'!B40,"")))))</f>
        <v/>
      </c>
      <c r="C40" s="13" t="str">
        <f>IF($S$1="NOVOgen WHITE Alternatif",'Standard NW Cl Alt'!C40,(IF($S$1="NOVOgen WHITE Light Alternatif",'Standard NW Li Alt'!C40,IF($S$1="NOVOgen WHITE Cages",'Standard NW Cl Ca'!C40,IF($S$1="NOVOgen WHITE Light Cages",'Standard NW Li Ca'!C40,"")))))</f>
        <v/>
      </c>
      <c r="D40" s="13" t="str">
        <f>IF($S$1="NOVOgen WHITE Alternatif",'Standard NW Cl Alt'!D40,(IF($S$1="NOVOgen WHITE Light Alternatif",'Standard NW Li Alt'!D40,IF($S$1="NOVOgen WHITE Cages",'Standard NW Cl Ca'!D40,IF($S$1="NOVOgen WHITE Light Cages",'Standard NW Li Ca'!D40,"")))))</f>
        <v/>
      </c>
      <c r="E40" s="14" t="str">
        <f>IF($S$1="NOVOgen WHITE Alternatif",'Standard NW Cl Alt'!E40,(IF($S$1="NOVOgen WHITE Light Alternatif",'Standard NW Li Alt'!E40,IF($S$1="NOVOgen WHITE Cages",'Standard NW Cl Ca'!E40,IF($S$1="NOVOgen WHITE Light Cages",'Standard NW Li Ca'!E40,"")))))</f>
        <v/>
      </c>
      <c r="F40" s="13" t="str">
        <f>IF($S$1="NOVOgen WHITE Alternatif",'Standard NW Cl Alt'!F40,(IF($S$1="NOVOgen WHITE Light Alternatif",'Standard NW Li Alt'!F40,IF($S$1="NOVOgen WHITE Cages",'Standard NW Cl Ca'!F40,IF($S$1="NOVOgen WHITE Light Cages",'Standard NW Li Ca'!F40,"")))))</f>
        <v/>
      </c>
      <c r="G40" s="14" t="str">
        <f>IF($S$1="NOVOgen WHITE Alternatif",'Standard NW Cl Alt'!G40,(IF($S$1="NOVOgen WHITE Light Alternatif",'Standard NW Li Alt'!G40,IF($S$1="NOVOgen WHITE Cages",'Standard NW Cl Ca'!G40,IF($S$1="NOVOgen WHITE Light Cages",'Standard NW Li Ca'!G40,"")))))</f>
        <v/>
      </c>
      <c r="H40" s="13" t="str">
        <f>IF($S$1="NOVOgen WHITE Alternatif",'Standard NW Cl Alt'!H40,(IF($S$1="NOVOgen WHITE Light Alternatif",'Standard NW Li Alt'!H40,IF($S$1="NOVOgen WHITE Cages",'Standard NW Cl Ca'!H40,IF($S$1="NOVOgen WHITE Light Cages",'Standard NW Li Ca'!H40,"")))))</f>
        <v/>
      </c>
      <c r="I40" s="13" t="str">
        <f>IF($S$1="NOVOgen WHITE Alternatif",'Standard NW Cl Alt'!I40,(IF($S$1="NOVOgen WHITE Light Alternatif",'Standard NW Li Alt'!I40,IF($S$1="NOVOgen WHITE Cages",'Standard NW Cl Ca'!I40,IF($S$1="NOVOgen WHITE Light Cages",'Standard NW Li Ca'!I40,"")))))</f>
        <v/>
      </c>
      <c r="J40" s="14" t="str">
        <f>IF($S$1="NOVOgen WHITE Alternatif",'Standard NW Cl Alt'!J40,(IF($S$1="NOVOgen WHITE Light Alternatif",'Standard NW Li Alt'!J40,IF($S$1="NOVOgen WHITE Cages",'Standard NW Cl Ca'!J40,IF($S$1="NOVOgen WHITE Light Cages",'Standard NW Li Ca'!J40,"")))))</f>
        <v/>
      </c>
      <c r="K40" s="15" t="str">
        <f>IF($S$1="NOVOgen WHITE Alternatif",'Standard NW Cl Alt'!K40,(IF($S$1="NOVOgen WHITE Light Alternatif",'Standard NW Li Alt'!K40,IF($S$1="NOVOgen WHITE Cages",'Standard NW Cl Ca'!K40,IF($S$1="NOVOgen WHITE Light Cages",'Standard NW Li Ca'!K40,"")))))</f>
        <v/>
      </c>
      <c r="L40" s="13" t="str">
        <f>IF($S$1="NOVOgen WHITE Alternatif",'Standard NW Cl Alt'!L40,(IF($S$1="NOVOgen WHITE Light Alternatif",'Standard NW Li Alt'!L40,IF($S$1="NOVOgen WHITE Cages",'Standard NW Cl Ca'!L40,IF($S$1="NOVOgen WHITE Light Cages",'Standard NW Li Ca'!L40,"")))))</f>
        <v/>
      </c>
    </row>
    <row r="41" spans="1:12" ht="15" customHeight="1" x14ac:dyDescent="0.2">
      <c r="A41" s="10">
        <v>51</v>
      </c>
      <c r="B41" s="13" t="str">
        <f>IF($S$1="NOVOgen WHITE Alternatif",'Standard NW Cl Alt'!B41,(IF($S$1="NOVOgen WHITE Light Alternatif",'Standard NW Li Alt'!B41,IF($S$1="NOVOgen WHITE Cages",'Standard NW Cl Ca'!B41,IF($S$1="NOVOgen WHITE Light Cages",'Standard NW Li Ca'!B41,"")))))</f>
        <v/>
      </c>
      <c r="C41" s="13" t="str">
        <f>IF($S$1="NOVOgen WHITE Alternatif",'Standard NW Cl Alt'!C41,(IF($S$1="NOVOgen WHITE Light Alternatif",'Standard NW Li Alt'!C41,IF($S$1="NOVOgen WHITE Cages",'Standard NW Cl Ca'!C41,IF($S$1="NOVOgen WHITE Light Cages",'Standard NW Li Ca'!C41,"")))))</f>
        <v/>
      </c>
      <c r="D41" s="13" t="str">
        <f>IF($S$1="NOVOgen WHITE Alternatif",'Standard NW Cl Alt'!D41,(IF($S$1="NOVOgen WHITE Light Alternatif",'Standard NW Li Alt'!D41,IF($S$1="NOVOgen WHITE Cages",'Standard NW Cl Ca'!D41,IF($S$1="NOVOgen WHITE Light Cages",'Standard NW Li Ca'!D41,"")))))</f>
        <v/>
      </c>
      <c r="E41" s="14" t="str">
        <f>IF($S$1="NOVOgen WHITE Alternatif",'Standard NW Cl Alt'!E41,(IF($S$1="NOVOgen WHITE Light Alternatif",'Standard NW Li Alt'!E41,IF($S$1="NOVOgen WHITE Cages",'Standard NW Cl Ca'!E41,IF($S$1="NOVOgen WHITE Light Cages",'Standard NW Li Ca'!E41,"")))))</f>
        <v/>
      </c>
      <c r="F41" s="13" t="str">
        <f>IF($S$1="NOVOgen WHITE Alternatif",'Standard NW Cl Alt'!F41,(IF($S$1="NOVOgen WHITE Light Alternatif",'Standard NW Li Alt'!F41,IF($S$1="NOVOgen WHITE Cages",'Standard NW Cl Ca'!F41,IF($S$1="NOVOgen WHITE Light Cages",'Standard NW Li Ca'!F41,"")))))</f>
        <v/>
      </c>
      <c r="G41" s="14" t="str">
        <f>IF($S$1="NOVOgen WHITE Alternatif",'Standard NW Cl Alt'!G41,(IF($S$1="NOVOgen WHITE Light Alternatif",'Standard NW Li Alt'!G41,IF($S$1="NOVOgen WHITE Cages",'Standard NW Cl Ca'!G41,IF($S$1="NOVOgen WHITE Light Cages",'Standard NW Li Ca'!G41,"")))))</f>
        <v/>
      </c>
      <c r="H41" s="13" t="str">
        <f>IF($S$1="NOVOgen WHITE Alternatif",'Standard NW Cl Alt'!H41,(IF($S$1="NOVOgen WHITE Light Alternatif",'Standard NW Li Alt'!H41,IF($S$1="NOVOgen WHITE Cages",'Standard NW Cl Ca'!H41,IF($S$1="NOVOgen WHITE Light Cages",'Standard NW Li Ca'!H41,"")))))</f>
        <v/>
      </c>
      <c r="I41" s="13" t="str">
        <f>IF($S$1="NOVOgen WHITE Alternatif",'Standard NW Cl Alt'!I41,(IF($S$1="NOVOgen WHITE Light Alternatif",'Standard NW Li Alt'!I41,IF($S$1="NOVOgen WHITE Cages",'Standard NW Cl Ca'!I41,IF($S$1="NOVOgen WHITE Light Cages",'Standard NW Li Ca'!I41,"")))))</f>
        <v/>
      </c>
      <c r="J41" s="14" t="str">
        <f>IF($S$1="NOVOgen WHITE Alternatif",'Standard NW Cl Alt'!J41,(IF($S$1="NOVOgen WHITE Light Alternatif",'Standard NW Li Alt'!J41,IF($S$1="NOVOgen WHITE Cages",'Standard NW Cl Ca'!J41,IF($S$1="NOVOgen WHITE Light Cages",'Standard NW Li Ca'!J41,"")))))</f>
        <v/>
      </c>
      <c r="K41" s="15" t="str">
        <f>IF($S$1="NOVOgen WHITE Alternatif",'Standard NW Cl Alt'!K41,(IF($S$1="NOVOgen WHITE Light Alternatif",'Standard NW Li Alt'!K41,IF($S$1="NOVOgen WHITE Cages",'Standard NW Cl Ca'!K41,IF($S$1="NOVOgen WHITE Light Cages",'Standard NW Li Ca'!K41,"")))))</f>
        <v/>
      </c>
      <c r="L41" s="13" t="str">
        <f>IF($S$1="NOVOgen WHITE Alternatif",'Standard NW Cl Alt'!L41,(IF($S$1="NOVOgen WHITE Light Alternatif",'Standard NW Li Alt'!L41,IF($S$1="NOVOgen WHITE Cages",'Standard NW Cl Ca'!L41,IF($S$1="NOVOgen WHITE Light Cages",'Standard NW Li Ca'!L41,"")))))</f>
        <v/>
      </c>
    </row>
    <row r="42" spans="1:12" ht="15" customHeight="1" x14ac:dyDescent="0.2">
      <c r="A42" s="16">
        <v>52</v>
      </c>
      <c r="B42" s="17" t="str">
        <f>IF($S$1="NOVOgen WHITE Alternatif",'Standard NW Cl Alt'!B42,(IF($S$1="NOVOgen WHITE Light Alternatif",'Standard NW Li Alt'!B42,IF($S$1="NOVOgen WHITE Cages",'Standard NW Cl Ca'!B42,IF($S$1="NOVOgen WHITE Light Cages",'Standard NW Li Ca'!B42,"")))))</f>
        <v/>
      </c>
      <c r="C42" s="17" t="str">
        <f>IF($S$1="NOVOgen WHITE Alternatif",'Standard NW Cl Alt'!C42,(IF($S$1="NOVOgen WHITE Light Alternatif",'Standard NW Li Alt'!C42,IF($S$1="NOVOgen WHITE Cages",'Standard NW Cl Ca'!C42,IF($S$1="NOVOgen WHITE Light Cages",'Standard NW Li Ca'!C42,"")))))</f>
        <v/>
      </c>
      <c r="D42" s="17" t="str">
        <f>IF($S$1="NOVOgen WHITE Alternatif",'Standard NW Cl Alt'!D42,(IF($S$1="NOVOgen WHITE Light Alternatif",'Standard NW Li Alt'!D42,IF($S$1="NOVOgen WHITE Cages",'Standard NW Cl Ca'!D42,IF($S$1="NOVOgen WHITE Light Cages",'Standard NW Li Ca'!D42,"")))))</f>
        <v/>
      </c>
      <c r="E42" s="18" t="str">
        <f>IF($S$1="NOVOgen WHITE Alternatif",'Standard NW Cl Alt'!E42,(IF($S$1="NOVOgen WHITE Light Alternatif",'Standard NW Li Alt'!E42,IF($S$1="NOVOgen WHITE Cages",'Standard NW Cl Ca'!E42,IF($S$1="NOVOgen WHITE Light Cages",'Standard NW Li Ca'!E42,"")))))</f>
        <v/>
      </c>
      <c r="F42" s="17" t="str">
        <f>IF($S$1="NOVOgen WHITE Alternatif",'Standard NW Cl Alt'!F42,(IF($S$1="NOVOgen WHITE Light Alternatif",'Standard NW Li Alt'!F42,IF($S$1="NOVOgen WHITE Cages",'Standard NW Cl Ca'!F42,IF($S$1="NOVOgen WHITE Light Cages",'Standard NW Li Ca'!F42,"")))))</f>
        <v/>
      </c>
      <c r="G42" s="18" t="str">
        <f>IF($S$1="NOVOgen WHITE Alternatif",'Standard NW Cl Alt'!G42,(IF($S$1="NOVOgen WHITE Light Alternatif",'Standard NW Li Alt'!G42,IF($S$1="NOVOgen WHITE Cages",'Standard NW Cl Ca'!G42,IF($S$1="NOVOgen WHITE Light Cages",'Standard NW Li Ca'!G42,"")))))</f>
        <v/>
      </c>
      <c r="H42" s="17" t="str">
        <f>IF($S$1="NOVOgen WHITE Alternatif",'Standard NW Cl Alt'!H42,(IF($S$1="NOVOgen WHITE Light Alternatif",'Standard NW Li Alt'!H42,IF($S$1="NOVOgen WHITE Cages",'Standard NW Cl Ca'!H42,IF($S$1="NOVOgen WHITE Light Cages",'Standard NW Li Ca'!H42,"")))))</f>
        <v/>
      </c>
      <c r="I42" s="17" t="str">
        <f>IF($S$1="NOVOgen WHITE Alternatif",'Standard NW Cl Alt'!I42,(IF($S$1="NOVOgen WHITE Light Alternatif",'Standard NW Li Alt'!I42,IF($S$1="NOVOgen WHITE Cages",'Standard NW Cl Ca'!I42,IF($S$1="NOVOgen WHITE Light Cages",'Standard NW Li Ca'!I42,"")))))</f>
        <v/>
      </c>
      <c r="J42" s="18" t="str">
        <f>IF($S$1="NOVOgen WHITE Alternatif",'Standard NW Cl Alt'!J42,(IF($S$1="NOVOgen WHITE Light Alternatif",'Standard NW Li Alt'!J42,IF($S$1="NOVOgen WHITE Cages",'Standard NW Cl Ca'!J42,IF($S$1="NOVOgen WHITE Light Cages",'Standard NW Li Ca'!J42,"")))))</f>
        <v/>
      </c>
      <c r="K42" s="19" t="str">
        <f>IF($S$1="NOVOgen WHITE Alternatif",'Standard NW Cl Alt'!K42,(IF($S$1="NOVOgen WHITE Light Alternatif",'Standard NW Li Alt'!K42,IF($S$1="NOVOgen WHITE Cages",'Standard NW Cl Ca'!K42,IF($S$1="NOVOgen WHITE Light Cages",'Standard NW Li Ca'!K42,"")))))</f>
        <v/>
      </c>
      <c r="L42" s="17" t="str">
        <f>IF($S$1="NOVOgen WHITE Alternatif",'Standard NW Cl Alt'!L42,(IF($S$1="NOVOgen WHITE Light Alternatif",'Standard NW Li Alt'!L42,IF($S$1="NOVOgen WHITE Cages",'Standard NW Cl Ca'!L42,IF($S$1="NOVOgen WHITE Light Cages",'Standard NW Li Ca'!L42,"")))))</f>
        <v/>
      </c>
    </row>
    <row r="43" spans="1:12" ht="15" customHeight="1" x14ac:dyDescent="0.2">
      <c r="A43" s="10">
        <v>53</v>
      </c>
      <c r="B43" s="13" t="str">
        <f>IF($S$1="NOVOgen WHITE Alternatif",'Standard NW Cl Alt'!B43,(IF($S$1="NOVOgen WHITE Light Alternatif",'Standard NW Li Alt'!B43,IF($S$1="NOVOgen WHITE Cages",'Standard NW Cl Ca'!B43,IF($S$1="NOVOgen WHITE Light Cages",'Standard NW Li Ca'!B43,"")))))</f>
        <v/>
      </c>
      <c r="C43" s="13" t="str">
        <f>IF($S$1="NOVOgen WHITE Alternatif",'Standard NW Cl Alt'!C43,(IF($S$1="NOVOgen WHITE Light Alternatif",'Standard NW Li Alt'!C43,IF($S$1="NOVOgen WHITE Cages",'Standard NW Cl Ca'!C43,IF($S$1="NOVOgen WHITE Light Cages",'Standard NW Li Ca'!C43,"")))))</f>
        <v/>
      </c>
      <c r="D43" s="13" t="str">
        <f>IF($S$1="NOVOgen WHITE Alternatif",'Standard NW Cl Alt'!D43,(IF($S$1="NOVOgen WHITE Light Alternatif",'Standard NW Li Alt'!D43,IF($S$1="NOVOgen WHITE Cages",'Standard NW Cl Ca'!D43,IF($S$1="NOVOgen WHITE Light Cages",'Standard NW Li Ca'!D43,"")))))</f>
        <v/>
      </c>
      <c r="E43" s="14" t="str">
        <f>IF($S$1="NOVOgen WHITE Alternatif",'Standard NW Cl Alt'!E43,(IF($S$1="NOVOgen WHITE Light Alternatif",'Standard NW Li Alt'!E43,IF($S$1="NOVOgen WHITE Cages",'Standard NW Cl Ca'!E43,IF($S$1="NOVOgen WHITE Light Cages",'Standard NW Li Ca'!E43,"")))))</f>
        <v/>
      </c>
      <c r="F43" s="13" t="str">
        <f>IF($S$1="NOVOgen WHITE Alternatif",'Standard NW Cl Alt'!F43,(IF($S$1="NOVOgen WHITE Light Alternatif",'Standard NW Li Alt'!F43,IF($S$1="NOVOgen WHITE Cages",'Standard NW Cl Ca'!F43,IF($S$1="NOVOgen WHITE Light Cages",'Standard NW Li Ca'!F43,"")))))</f>
        <v/>
      </c>
      <c r="G43" s="14" t="str">
        <f>IF($S$1="NOVOgen WHITE Alternatif",'Standard NW Cl Alt'!G43,(IF($S$1="NOVOgen WHITE Light Alternatif",'Standard NW Li Alt'!G43,IF($S$1="NOVOgen WHITE Cages",'Standard NW Cl Ca'!G43,IF($S$1="NOVOgen WHITE Light Cages",'Standard NW Li Ca'!G43,"")))))</f>
        <v/>
      </c>
      <c r="H43" s="13" t="str">
        <f>IF($S$1="NOVOgen WHITE Alternatif",'Standard NW Cl Alt'!H43,(IF($S$1="NOVOgen WHITE Light Alternatif",'Standard NW Li Alt'!H43,IF($S$1="NOVOgen WHITE Cages",'Standard NW Cl Ca'!H43,IF($S$1="NOVOgen WHITE Light Cages",'Standard NW Li Ca'!H43,"")))))</f>
        <v/>
      </c>
      <c r="I43" s="13" t="str">
        <f>IF($S$1="NOVOgen WHITE Alternatif",'Standard NW Cl Alt'!I43,(IF($S$1="NOVOgen WHITE Light Alternatif",'Standard NW Li Alt'!I43,IF($S$1="NOVOgen WHITE Cages",'Standard NW Cl Ca'!I43,IF($S$1="NOVOgen WHITE Light Cages",'Standard NW Li Ca'!I43,"")))))</f>
        <v/>
      </c>
      <c r="J43" s="14" t="str">
        <f>IF($S$1="NOVOgen WHITE Alternatif",'Standard NW Cl Alt'!J43,(IF($S$1="NOVOgen WHITE Light Alternatif",'Standard NW Li Alt'!J43,IF($S$1="NOVOgen WHITE Cages",'Standard NW Cl Ca'!J43,IF($S$1="NOVOgen WHITE Light Cages",'Standard NW Li Ca'!J43,"")))))</f>
        <v/>
      </c>
      <c r="K43" s="15" t="str">
        <f>IF($S$1="NOVOgen WHITE Alternatif",'Standard NW Cl Alt'!K43,(IF($S$1="NOVOgen WHITE Light Alternatif",'Standard NW Li Alt'!K43,IF($S$1="NOVOgen WHITE Cages",'Standard NW Cl Ca'!K43,IF($S$1="NOVOgen WHITE Light Cages",'Standard NW Li Ca'!K43,"")))))</f>
        <v/>
      </c>
      <c r="L43" s="13" t="str">
        <f>IF($S$1="NOVOgen WHITE Alternatif",'Standard NW Cl Alt'!L43,(IF($S$1="NOVOgen WHITE Light Alternatif",'Standard NW Li Alt'!L43,IF($S$1="NOVOgen WHITE Cages",'Standard NW Cl Ca'!L43,IF($S$1="NOVOgen WHITE Light Cages",'Standard NW Li Ca'!L43,"")))))</f>
        <v/>
      </c>
    </row>
    <row r="44" spans="1:12" ht="15" customHeight="1" x14ac:dyDescent="0.2">
      <c r="A44" s="10">
        <v>54</v>
      </c>
      <c r="B44" s="13" t="str">
        <f>IF($S$1="NOVOgen WHITE Alternatif",'Standard NW Cl Alt'!B44,(IF($S$1="NOVOgen WHITE Light Alternatif",'Standard NW Li Alt'!B44,IF($S$1="NOVOgen WHITE Cages",'Standard NW Cl Ca'!B44,IF($S$1="NOVOgen WHITE Light Cages",'Standard NW Li Ca'!B44,"")))))</f>
        <v/>
      </c>
      <c r="C44" s="13" t="str">
        <f>IF($S$1="NOVOgen WHITE Alternatif",'Standard NW Cl Alt'!C44,(IF($S$1="NOVOgen WHITE Light Alternatif",'Standard NW Li Alt'!C44,IF($S$1="NOVOgen WHITE Cages",'Standard NW Cl Ca'!C44,IF($S$1="NOVOgen WHITE Light Cages",'Standard NW Li Ca'!C44,"")))))</f>
        <v/>
      </c>
      <c r="D44" s="13" t="str">
        <f>IF($S$1="NOVOgen WHITE Alternatif",'Standard NW Cl Alt'!D44,(IF($S$1="NOVOgen WHITE Light Alternatif",'Standard NW Li Alt'!D44,IF($S$1="NOVOgen WHITE Cages",'Standard NW Cl Ca'!D44,IF($S$1="NOVOgen WHITE Light Cages",'Standard NW Li Ca'!D44,"")))))</f>
        <v/>
      </c>
      <c r="E44" s="14" t="str">
        <f>IF($S$1="NOVOgen WHITE Alternatif",'Standard NW Cl Alt'!E44,(IF($S$1="NOVOgen WHITE Light Alternatif",'Standard NW Li Alt'!E44,IF($S$1="NOVOgen WHITE Cages",'Standard NW Cl Ca'!E44,IF($S$1="NOVOgen WHITE Light Cages",'Standard NW Li Ca'!E44,"")))))</f>
        <v/>
      </c>
      <c r="F44" s="13" t="str">
        <f>IF($S$1="NOVOgen WHITE Alternatif",'Standard NW Cl Alt'!F44,(IF($S$1="NOVOgen WHITE Light Alternatif",'Standard NW Li Alt'!F44,IF($S$1="NOVOgen WHITE Cages",'Standard NW Cl Ca'!F44,IF($S$1="NOVOgen WHITE Light Cages",'Standard NW Li Ca'!F44,"")))))</f>
        <v/>
      </c>
      <c r="G44" s="14" t="str">
        <f>IF($S$1="NOVOgen WHITE Alternatif",'Standard NW Cl Alt'!G44,(IF($S$1="NOVOgen WHITE Light Alternatif",'Standard NW Li Alt'!G44,IF($S$1="NOVOgen WHITE Cages",'Standard NW Cl Ca'!G44,IF($S$1="NOVOgen WHITE Light Cages",'Standard NW Li Ca'!G44,"")))))</f>
        <v/>
      </c>
      <c r="H44" s="13" t="str">
        <f>IF($S$1="NOVOgen WHITE Alternatif",'Standard NW Cl Alt'!H44,(IF($S$1="NOVOgen WHITE Light Alternatif",'Standard NW Li Alt'!H44,IF($S$1="NOVOgen WHITE Cages",'Standard NW Cl Ca'!H44,IF($S$1="NOVOgen WHITE Light Cages",'Standard NW Li Ca'!H44,"")))))</f>
        <v/>
      </c>
      <c r="I44" s="13" t="str">
        <f>IF($S$1="NOVOgen WHITE Alternatif",'Standard NW Cl Alt'!I44,(IF($S$1="NOVOgen WHITE Light Alternatif",'Standard NW Li Alt'!I44,IF($S$1="NOVOgen WHITE Cages",'Standard NW Cl Ca'!I44,IF($S$1="NOVOgen WHITE Light Cages",'Standard NW Li Ca'!I44,"")))))</f>
        <v/>
      </c>
      <c r="J44" s="14" t="str">
        <f>IF($S$1="NOVOgen WHITE Alternatif",'Standard NW Cl Alt'!J44,(IF($S$1="NOVOgen WHITE Light Alternatif",'Standard NW Li Alt'!J44,IF($S$1="NOVOgen WHITE Cages",'Standard NW Cl Ca'!J44,IF($S$1="NOVOgen WHITE Light Cages",'Standard NW Li Ca'!J44,"")))))</f>
        <v/>
      </c>
      <c r="K44" s="15" t="str">
        <f>IF($S$1="NOVOgen WHITE Alternatif",'Standard NW Cl Alt'!K44,(IF($S$1="NOVOgen WHITE Light Alternatif",'Standard NW Li Alt'!K44,IF($S$1="NOVOgen WHITE Cages",'Standard NW Cl Ca'!K44,IF($S$1="NOVOgen WHITE Light Cages",'Standard NW Li Ca'!K44,"")))))</f>
        <v/>
      </c>
      <c r="L44" s="13" t="str">
        <f>IF($S$1="NOVOgen WHITE Alternatif",'Standard NW Cl Alt'!L44,(IF($S$1="NOVOgen WHITE Light Alternatif",'Standard NW Li Alt'!L44,IF($S$1="NOVOgen WHITE Cages",'Standard NW Cl Ca'!L44,IF($S$1="NOVOgen WHITE Light Cages",'Standard NW Li Ca'!L44,"")))))</f>
        <v/>
      </c>
    </row>
    <row r="45" spans="1:12" ht="15" customHeight="1" x14ac:dyDescent="0.2">
      <c r="A45" s="10">
        <v>55</v>
      </c>
      <c r="B45" s="13" t="str">
        <f>IF($S$1="NOVOgen WHITE Alternatif",'Standard NW Cl Alt'!B45,(IF($S$1="NOVOgen WHITE Light Alternatif",'Standard NW Li Alt'!B45,IF($S$1="NOVOgen WHITE Cages",'Standard NW Cl Ca'!B45,IF($S$1="NOVOgen WHITE Light Cages",'Standard NW Li Ca'!B45,"")))))</f>
        <v/>
      </c>
      <c r="C45" s="13" t="str">
        <f>IF($S$1="NOVOgen WHITE Alternatif",'Standard NW Cl Alt'!C45,(IF($S$1="NOVOgen WHITE Light Alternatif",'Standard NW Li Alt'!C45,IF($S$1="NOVOgen WHITE Cages",'Standard NW Cl Ca'!C45,IF($S$1="NOVOgen WHITE Light Cages",'Standard NW Li Ca'!C45,"")))))</f>
        <v/>
      </c>
      <c r="D45" s="13" t="str">
        <f>IF($S$1="NOVOgen WHITE Alternatif",'Standard NW Cl Alt'!D45,(IF($S$1="NOVOgen WHITE Light Alternatif",'Standard NW Li Alt'!D45,IF($S$1="NOVOgen WHITE Cages",'Standard NW Cl Ca'!D45,IF($S$1="NOVOgen WHITE Light Cages",'Standard NW Li Ca'!D45,"")))))</f>
        <v/>
      </c>
      <c r="E45" s="14" t="str">
        <f>IF($S$1="NOVOgen WHITE Alternatif",'Standard NW Cl Alt'!E45,(IF($S$1="NOVOgen WHITE Light Alternatif",'Standard NW Li Alt'!E45,IF($S$1="NOVOgen WHITE Cages",'Standard NW Cl Ca'!E45,IF($S$1="NOVOgen WHITE Light Cages",'Standard NW Li Ca'!E45,"")))))</f>
        <v/>
      </c>
      <c r="F45" s="13" t="str">
        <f>IF($S$1="NOVOgen WHITE Alternatif",'Standard NW Cl Alt'!F45,(IF($S$1="NOVOgen WHITE Light Alternatif",'Standard NW Li Alt'!F45,IF($S$1="NOVOgen WHITE Cages",'Standard NW Cl Ca'!F45,IF($S$1="NOVOgen WHITE Light Cages",'Standard NW Li Ca'!F45,"")))))</f>
        <v/>
      </c>
      <c r="G45" s="14" t="str">
        <f>IF($S$1="NOVOgen WHITE Alternatif",'Standard NW Cl Alt'!G45,(IF($S$1="NOVOgen WHITE Light Alternatif",'Standard NW Li Alt'!G45,IF($S$1="NOVOgen WHITE Cages",'Standard NW Cl Ca'!G45,IF($S$1="NOVOgen WHITE Light Cages",'Standard NW Li Ca'!G45,"")))))</f>
        <v/>
      </c>
      <c r="H45" s="13" t="str">
        <f>IF($S$1="NOVOgen WHITE Alternatif",'Standard NW Cl Alt'!H45,(IF($S$1="NOVOgen WHITE Light Alternatif",'Standard NW Li Alt'!H45,IF($S$1="NOVOgen WHITE Cages",'Standard NW Cl Ca'!H45,IF($S$1="NOVOgen WHITE Light Cages",'Standard NW Li Ca'!H45,"")))))</f>
        <v/>
      </c>
      <c r="I45" s="13" t="str">
        <f>IF($S$1="NOVOgen WHITE Alternatif",'Standard NW Cl Alt'!I45,(IF($S$1="NOVOgen WHITE Light Alternatif",'Standard NW Li Alt'!I45,IF($S$1="NOVOgen WHITE Cages",'Standard NW Cl Ca'!I45,IF($S$1="NOVOgen WHITE Light Cages",'Standard NW Li Ca'!I45,"")))))</f>
        <v/>
      </c>
      <c r="J45" s="14" t="str">
        <f>IF($S$1="NOVOgen WHITE Alternatif",'Standard NW Cl Alt'!J45,(IF($S$1="NOVOgen WHITE Light Alternatif",'Standard NW Li Alt'!J45,IF($S$1="NOVOgen WHITE Cages",'Standard NW Cl Ca'!J45,IF($S$1="NOVOgen WHITE Light Cages",'Standard NW Li Ca'!J45,"")))))</f>
        <v/>
      </c>
      <c r="K45" s="15" t="str">
        <f>IF($S$1="NOVOgen WHITE Alternatif",'Standard NW Cl Alt'!K45,(IF($S$1="NOVOgen WHITE Light Alternatif",'Standard NW Li Alt'!K45,IF($S$1="NOVOgen WHITE Cages",'Standard NW Cl Ca'!K45,IF($S$1="NOVOgen WHITE Light Cages",'Standard NW Li Ca'!K45,"")))))</f>
        <v/>
      </c>
      <c r="L45" s="13" t="str">
        <f>IF($S$1="NOVOgen WHITE Alternatif",'Standard NW Cl Alt'!L45,(IF($S$1="NOVOgen WHITE Light Alternatif",'Standard NW Li Alt'!L45,IF($S$1="NOVOgen WHITE Cages",'Standard NW Cl Ca'!L45,IF($S$1="NOVOgen WHITE Light Cages",'Standard NW Li Ca'!L45,"")))))</f>
        <v/>
      </c>
    </row>
    <row r="46" spans="1:12" ht="15" customHeight="1" x14ac:dyDescent="0.2">
      <c r="A46" s="16">
        <v>56</v>
      </c>
      <c r="B46" s="17" t="str">
        <f>IF($S$1="NOVOgen WHITE Alternatif",'Standard NW Cl Alt'!B46,(IF($S$1="NOVOgen WHITE Light Alternatif",'Standard NW Li Alt'!B46,IF($S$1="NOVOgen WHITE Cages",'Standard NW Cl Ca'!B46,IF($S$1="NOVOgen WHITE Light Cages",'Standard NW Li Ca'!B46,"")))))</f>
        <v/>
      </c>
      <c r="C46" s="17" t="str">
        <f>IF($S$1="NOVOgen WHITE Alternatif",'Standard NW Cl Alt'!C46,(IF($S$1="NOVOgen WHITE Light Alternatif",'Standard NW Li Alt'!C46,IF($S$1="NOVOgen WHITE Cages",'Standard NW Cl Ca'!C46,IF($S$1="NOVOgen WHITE Light Cages",'Standard NW Li Ca'!C46,"")))))</f>
        <v/>
      </c>
      <c r="D46" s="17" t="str">
        <f>IF($S$1="NOVOgen WHITE Alternatif",'Standard NW Cl Alt'!D46,(IF($S$1="NOVOgen WHITE Light Alternatif",'Standard NW Li Alt'!D46,IF($S$1="NOVOgen WHITE Cages",'Standard NW Cl Ca'!D46,IF($S$1="NOVOgen WHITE Light Cages",'Standard NW Li Ca'!D46,"")))))</f>
        <v/>
      </c>
      <c r="E46" s="18" t="str">
        <f>IF($S$1="NOVOgen WHITE Alternatif",'Standard NW Cl Alt'!E46,(IF($S$1="NOVOgen WHITE Light Alternatif",'Standard NW Li Alt'!E46,IF($S$1="NOVOgen WHITE Cages",'Standard NW Cl Ca'!E46,IF($S$1="NOVOgen WHITE Light Cages",'Standard NW Li Ca'!E46,"")))))</f>
        <v/>
      </c>
      <c r="F46" s="17" t="str">
        <f>IF($S$1="NOVOgen WHITE Alternatif",'Standard NW Cl Alt'!F46,(IF($S$1="NOVOgen WHITE Light Alternatif",'Standard NW Li Alt'!F46,IF($S$1="NOVOgen WHITE Cages",'Standard NW Cl Ca'!F46,IF($S$1="NOVOgen WHITE Light Cages",'Standard NW Li Ca'!F46,"")))))</f>
        <v/>
      </c>
      <c r="G46" s="18" t="str">
        <f>IF($S$1="NOVOgen WHITE Alternatif",'Standard NW Cl Alt'!G46,(IF($S$1="NOVOgen WHITE Light Alternatif",'Standard NW Li Alt'!G46,IF($S$1="NOVOgen WHITE Cages",'Standard NW Cl Ca'!G46,IF($S$1="NOVOgen WHITE Light Cages",'Standard NW Li Ca'!G46,"")))))</f>
        <v/>
      </c>
      <c r="H46" s="17" t="str">
        <f>IF($S$1="NOVOgen WHITE Alternatif",'Standard NW Cl Alt'!H46,(IF($S$1="NOVOgen WHITE Light Alternatif",'Standard NW Li Alt'!H46,IF($S$1="NOVOgen WHITE Cages",'Standard NW Cl Ca'!H46,IF($S$1="NOVOgen WHITE Light Cages",'Standard NW Li Ca'!H46,"")))))</f>
        <v/>
      </c>
      <c r="I46" s="17" t="str">
        <f>IF($S$1="NOVOgen WHITE Alternatif",'Standard NW Cl Alt'!I46,(IF($S$1="NOVOgen WHITE Light Alternatif",'Standard NW Li Alt'!I46,IF($S$1="NOVOgen WHITE Cages",'Standard NW Cl Ca'!I46,IF($S$1="NOVOgen WHITE Light Cages",'Standard NW Li Ca'!I46,"")))))</f>
        <v/>
      </c>
      <c r="J46" s="18" t="str">
        <f>IF($S$1="NOVOgen WHITE Alternatif",'Standard NW Cl Alt'!J46,(IF($S$1="NOVOgen WHITE Light Alternatif",'Standard NW Li Alt'!J46,IF($S$1="NOVOgen WHITE Cages",'Standard NW Cl Ca'!J46,IF($S$1="NOVOgen WHITE Light Cages",'Standard NW Li Ca'!J46,"")))))</f>
        <v/>
      </c>
      <c r="K46" s="19" t="str">
        <f>IF($S$1="NOVOgen WHITE Alternatif",'Standard NW Cl Alt'!K46,(IF($S$1="NOVOgen WHITE Light Alternatif",'Standard NW Li Alt'!K46,IF($S$1="NOVOgen WHITE Cages",'Standard NW Cl Ca'!K46,IF($S$1="NOVOgen WHITE Light Cages",'Standard NW Li Ca'!K46,"")))))</f>
        <v/>
      </c>
      <c r="L46" s="17" t="str">
        <f>IF($S$1="NOVOgen WHITE Alternatif",'Standard NW Cl Alt'!L46,(IF($S$1="NOVOgen WHITE Light Alternatif",'Standard NW Li Alt'!L46,IF($S$1="NOVOgen WHITE Cages",'Standard NW Cl Ca'!L46,IF($S$1="NOVOgen WHITE Light Cages",'Standard NW Li Ca'!L46,"")))))</f>
        <v/>
      </c>
    </row>
    <row r="47" spans="1:12" ht="15" customHeight="1" x14ac:dyDescent="0.2">
      <c r="A47" s="10">
        <v>57</v>
      </c>
      <c r="B47" s="13" t="str">
        <f>IF($S$1="NOVOgen WHITE Alternatif",'Standard NW Cl Alt'!B47,(IF($S$1="NOVOgen WHITE Light Alternatif",'Standard NW Li Alt'!B47,IF($S$1="NOVOgen WHITE Cages",'Standard NW Cl Ca'!B47,IF($S$1="NOVOgen WHITE Light Cages",'Standard NW Li Ca'!B47,"")))))</f>
        <v/>
      </c>
      <c r="C47" s="13" t="str">
        <f>IF($S$1="NOVOgen WHITE Alternatif",'Standard NW Cl Alt'!C47,(IF($S$1="NOVOgen WHITE Light Alternatif",'Standard NW Li Alt'!C47,IF($S$1="NOVOgen WHITE Cages",'Standard NW Cl Ca'!C47,IF($S$1="NOVOgen WHITE Light Cages",'Standard NW Li Ca'!C47,"")))))</f>
        <v/>
      </c>
      <c r="D47" s="13" t="str">
        <f>IF($S$1="NOVOgen WHITE Alternatif",'Standard NW Cl Alt'!D47,(IF($S$1="NOVOgen WHITE Light Alternatif",'Standard NW Li Alt'!D47,IF($S$1="NOVOgen WHITE Cages",'Standard NW Cl Ca'!D47,IF($S$1="NOVOgen WHITE Light Cages",'Standard NW Li Ca'!D47,"")))))</f>
        <v/>
      </c>
      <c r="E47" s="14" t="str">
        <f>IF($S$1="NOVOgen WHITE Alternatif",'Standard NW Cl Alt'!E47,(IF($S$1="NOVOgen WHITE Light Alternatif",'Standard NW Li Alt'!E47,IF($S$1="NOVOgen WHITE Cages",'Standard NW Cl Ca'!E47,IF($S$1="NOVOgen WHITE Light Cages",'Standard NW Li Ca'!E47,"")))))</f>
        <v/>
      </c>
      <c r="F47" s="13" t="str">
        <f>IF($S$1="NOVOgen WHITE Alternatif",'Standard NW Cl Alt'!F47,(IF($S$1="NOVOgen WHITE Light Alternatif",'Standard NW Li Alt'!F47,IF($S$1="NOVOgen WHITE Cages",'Standard NW Cl Ca'!F47,IF($S$1="NOVOgen WHITE Light Cages",'Standard NW Li Ca'!F47,"")))))</f>
        <v/>
      </c>
      <c r="G47" s="14" t="str">
        <f>IF($S$1="NOVOgen WHITE Alternatif",'Standard NW Cl Alt'!G47,(IF($S$1="NOVOgen WHITE Light Alternatif",'Standard NW Li Alt'!G47,IF($S$1="NOVOgen WHITE Cages",'Standard NW Cl Ca'!G47,IF($S$1="NOVOgen WHITE Light Cages",'Standard NW Li Ca'!G47,"")))))</f>
        <v/>
      </c>
      <c r="H47" s="13" t="str">
        <f>IF($S$1="NOVOgen WHITE Alternatif",'Standard NW Cl Alt'!H47,(IF($S$1="NOVOgen WHITE Light Alternatif",'Standard NW Li Alt'!H47,IF($S$1="NOVOgen WHITE Cages",'Standard NW Cl Ca'!H47,IF($S$1="NOVOgen WHITE Light Cages",'Standard NW Li Ca'!H47,"")))))</f>
        <v/>
      </c>
      <c r="I47" s="13" t="str">
        <f>IF($S$1="NOVOgen WHITE Alternatif",'Standard NW Cl Alt'!I47,(IF($S$1="NOVOgen WHITE Light Alternatif",'Standard NW Li Alt'!I47,IF($S$1="NOVOgen WHITE Cages",'Standard NW Cl Ca'!I47,IF($S$1="NOVOgen WHITE Light Cages",'Standard NW Li Ca'!I47,"")))))</f>
        <v/>
      </c>
      <c r="J47" s="14" t="str">
        <f>IF($S$1="NOVOgen WHITE Alternatif",'Standard NW Cl Alt'!J47,(IF($S$1="NOVOgen WHITE Light Alternatif",'Standard NW Li Alt'!J47,IF($S$1="NOVOgen WHITE Cages",'Standard NW Cl Ca'!J47,IF($S$1="NOVOgen WHITE Light Cages",'Standard NW Li Ca'!J47,"")))))</f>
        <v/>
      </c>
      <c r="K47" s="15" t="str">
        <f>IF($S$1="NOVOgen WHITE Alternatif",'Standard NW Cl Alt'!K47,(IF($S$1="NOVOgen WHITE Light Alternatif",'Standard NW Li Alt'!K47,IF($S$1="NOVOgen WHITE Cages",'Standard NW Cl Ca'!K47,IF($S$1="NOVOgen WHITE Light Cages",'Standard NW Li Ca'!K47,"")))))</f>
        <v/>
      </c>
      <c r="L47" s="13" t="str">
        <f>IF($S$1="NOVOgen WHITE Alternatif",'Standard NW Cl Alt'!L47,(IF($S$1="NOVOgen WHITE Light Alternatif",'Standard NW Li Alt'!L47,IF($S$1="NOVOgen WHITE Cages",'Standard NW Cl Ca'!L47,IF($S$1="NOVOgen WHITE Light Cages",'Standard NW Li Ca'!L47,"")))))</f>
        <v/>
      </c>
    </row>
    <row r="48" spans="1:12" ht="15" customHeight="1" x14ac:dyDescent="0.2">
      <c r="A48" s="10">
        <v>58</v>
      </c>
      <c r="B48" s="13" t="str">
        <f>IF($S$1="NOVOgen WHITE Alternatif",'Standard NW Cl Alt'!B48,(IF($S$1="NOVOgen WHITE Light Alternatif",'Standard NW Li Alt'!B48,IF($S$1="NOVOgen WHITE Cages",'Standard NW Cl Ca'!B48,IF($S$1="NOVOgen WHITE Light Cages",'Standard NW Li Ca'!B48,"")))))</f>
        <v/>
      </c>
      <c r="C48" s="13" t="str">
        <f>IF($S$1="NOVOgen WHITE Alternatif",'Standard NW Cl Alt'!C48,(IF($S$1="NOVOgen WHITE Light Alternatif",'Standard NW Li Alt'!C48,IF($S$1="NOVOgen WHITE Cages",'Standard NW Cl Ca'!C48,IF($S$1="NOVOgen WHITE Light Cages",'Standard NW Li Ca'!C48,"")))))</f>
        <v/>
      </c>
      <c r="D48" s="13" t="str">
        <f>IF($S$1="NOVOgen WHITE Alternatif",'Standard NW Cl Alt'!D48,(IF($S$1="NOVOgen WHITE Light Alternatif",'Standard NW Li Alt'!D48,IF($S$1="NOVOgen WHITE Cages",'Standard NW Cl Ca'!D48,IF($S$1="NOVOgen WHITE Light Cages",'Standard NW Li Ca'!D48,"")))))</f>
        <v/>
      </c>
      <c r="E48" s="14" t="str">
        <f>IF($S$1="NOVOgen WHITE Alternatif",'Standard NW Cl Alt'!E48,(IF($S$1="NOVOgen WHITE Light Alternatif",'Standard NW Li Alt'!E48,IF($S$1="NOVOgen WHITE Cages",'Standard NW Cl Ca'!E48,IF($S$1="NOVOgen WHITE Light Cages",'Standard NW Li Ca'!E48,"")))))</f>
        <v/>
      </c>
      <c r="F48" s="13" t="str">
        <f>IF($S$1="NOVOgen WHITE Alternatif",'Standard NW Cl Alt'!F48,(IF($S$1="NOVOgen WHITE Light Alternatif",'Standard NW Li Alt'!F48,IF($S$1="NOVOgen WHITE Cages",'Standard NW Cl Ca'!F48,IF($S$1="NOVOgen WHITE Light Cages",'Standard NW Li Ca'!F48,"")))))</f>
        <v/>
      </c>
      <c r="G48" s="14" t="str">
        <f>IF($S$1="NOVOgen WHITE Alternatif",'Standard NW Cl Alt'!G48,(IF($S$1="NOVOgen WHITE Light Alternatif",'Standard NW Li Alt'!G48,IF($S$1="NOVOgen WHITE Cages",'Standard NW Cl Ca'!G48,IF($S$1="NOVOgen WHITE Light Cages",'Standard NW Li Ca'!G48,"")))))</f>
        <v/>
      </c>
      <c r="H48" s="13" t="str">
        <f>IF($S$1="NOVOgen WHITE Alternatif",'Standard NW Cl Alt'!H48,(IF($S$1="NOVOgen WHITE Light Alternatif",'Standard NW Li Alt'!H48,IF($S$1="NOVOgen WHITE Cages",'Standard NW Cl Ca'!H48,IF($S$1="NOVOgen WHITE Light Cages",'Standard NW Li Ca'!H48,"")))))</f>
        <v/>
      </c>
      <c r="I48" s="13" t="str">
        <f>IF($S$1="NOVOgen WHITE Alternatif",'Standard NW Cl Alt'!I48,(IF($S$1="NOVOgen WHITE Light Alternatif",'Standard NW Li Alt'!I48,IF($S$1="NOVOgen WHITE Cages",'Standard NW Cl Ca'!I48,IF($S$1="NOVOgen WHITE Light Cages",'Standard NW Li Ca'!I48,"")))))</f>
        <v/>
      </c>
      <c r="J48" s="14" t="str">
        <f>IF($S$1="NOVOgen WHITE Alternatif",'Standard NW Cl Alt'!J48,(IF($S$1="NOVOgen WHITE Light Alternatif",'Standard NW Li Alt'!J48,IF($S$1="NOVOgen WHITE Cages",'Standard NW Cl Ca'!J48,IF($S$1="NOVOgen WHITE Light Cages",'Standard NW Li Ca'!J48,"")))))</f>
        <v/>
      </c>
      <c r="K48" s="15" t="str">
        <f>IF($S$1="NOVOgen WHITE Alternatif",'Standard NW Cl Alt'!K48,(IF($S$1="NOVOgen WHITE Light Alternatif",'Standard NW Li Alt'!K48,IF($S$1="NOVOgen WHITE Cages",'Standard NW Cl Ca'!K48,IF($S$1="NOVOgen WHITE Light Cages",'Standard NW Li Ca'!K48,"")))))</f>
        <v/>
      </c>
      <c r="L48" s="13" t="str">
        <f>IF($S$1="NOVOgen WHITE Alternatif",'Standard NW Cl Alt'!L48,(IF($S$1="NOVOgen WHITE Light Alternatif",'Standard NW Li Alt'!L48,IF($S$1="NOVOgen WHITE Cages",'Standard NW Cl Ca'!L48,IF($S$1="NOVOgen WHITE Light Cages",'Standard NW Li Ca'!L48,"")))))</f>
        <v/>
      </c>
    </row>
    <row r="49" spans="1:12" ht="15" customHeight="1" x14ac:dyDescent="0.2">
      <c r="A49" s="10">
        <v>59</v>
      </c>
      <c r="B49" s="13" t="str">
        <f>IF($S$1="NOVOgen WHITE Alternatif",'Standard NW Cl Alt'!B49,(IF($S$1="NOVOgen WHITE Light Alternatif",'Standard NW Li Alt'!B49,IF($S$1="NOVOgen WHITE Cages",'Standard NW Cl Ca'!B49,IF($S$1="NOVOgen WHITE Light Cages",'Standard NW Li Ca'!B49,"")))))</f>
        <v/>
      </c>
      <c r="C49" s="13" t="str">
        <f>IF($S$1="NOVOgen WHITE Alternatif",'Standard NW Cl Alt'!C49,(IF($S$1="NOVOgen WHITE Light Alternatif",'Standard NW Li Alt'!C49,IF($S$1="NOVOgen WHITE Cages",'Standard NW Cl Ca'!C49,IF($S$1="NOVOgen WHITE Light Cages",'Standard NW Li Ca'!C49,"")))))</f>
        <v/>
      </c>
      <c r="D49" s="13" t="str">
        <f>IF($S$1="NOVOgen WHITE Alternatif",'Standard NW Cl Alt'!D49,(IF($S$1="NOVOgen WHITE Light Alternatif",'Standard NW Li Alt'!D49,IF($S$1="NOVOgen WHITE Cages",'Standard NW Cl Ca'!D49,IF($S$1="NOVOgen WHITE Light Cages",'Standard NW Li Ca'!D49,"")))))</f>
        <v/>
      </c>
      <c r="E49" s="14" t="str">
        <f>IF($S$1="NOVOgen WHITE Alternatif",'Standard NW Cl Alt'!E49,(IF($S$1="NOVOgen WHITE Light Alternatif",'Standard NW Li Alt'!E49,IF($S$1="NOVOgen WHITE Cages",'Standard NW Cl Ca'!E49,IF($S$1="NOVOgen WHITE Light Cages",'Standard NW Li Ca'!E49,"")))))</f>
        <v/>
      </c>
      <c r="F49" s="13" t="str">
        <f>IF($S$1="NOVOgen WHITE Alternatif",'Standard NW Cl Alt'!F49,(IF($S$1="NOVOgen WHITE Light Alternatif",'Standard NW Li Alt'!F49,IF($S$1="NOVOgen WHITE Cages",'Standard NW Cl Ca'!F49,IF($S$1="NOVOgen WHITE Light Cages",'Standard NW Li Ca'!F49,"")))))</f>
        <v/>
      </c>
      <c r="G49" s="14" t="str">
        <f>IF($S$1="NOVOgen WHITE Alternatif",'Standard NW Cl Alt'!G49,(IF($S$1="NOVOgen WHITE Light Alternatif",'Standard NW Li Alt'!G49,IF($S$1="NOVOgen WHITE Cages",'Standard NW Cl Ca'!G49,IF($S$1="NOVOgen WHITE Light Cages",'Standard NW Li Ca'!G49,"")))))</f>
        <v/>
      </c>
      <c r="H49" s="13" t="str">
        <f>IF($S$1="NOVOgen WHITE Alternatif",'Standard NW Cl Alt'!H49,(IF($S$1="NOVOgen WHITE Light Alternatif",'Standard NW Li Alt'!H49,IF($S$1="NOVOgen WHITE Cages",'Standard NW Cl Ca'!H49,IF($S$1="NOVOgen WHITE Light Cages",'Standard NW Li Ca'!H49,"")))))</f>
        <v/>
      </c>
      <c r="I49" s="13" t="str">
        <f>IF($S$1="NOVOgen WHITE Alternatif",'Standard NW Cl Alt'!I49,(IF($S$1="NOVOgen WHITE Light Alternatif",'Standard NW Li Alt'!I49,IF($S$1="NOVOgen WHITE Cages",'Standard NW Cl Ca'!I49,IF($S$1="NOVOgen WHITE Light Cages",'Standard NW Li Ca'!I49,"")))))</f>
        <v/>
      </c>
      <c r="J49" s="14" t="str">
        <f>IF($S$1="NOVOgen WHITE Alternatif",'Standard NW Cl Alt'!J49,(IF($S$1="NOVOgen WHITE Light Alternatif",'Standard NW Li Alt'!J49,IF($S$1="NOVOgen WHITE Cages",'Standard NW Cl Ca'!J49,IF($S$1="NOVOgen WHITE Light Cages",'Standard NW Li Ca'!J49,"")))))</f>
        <v/>
      </c>
      <c r="K49" s="15" t="str">
        <f>IF($S$1="NOVOgen WHITE Alternatif",'Standard NW Cl Alt'!K49,(IF($S$1="NOVOgen WHITE Light Alternatif",'Standard NW Li Alt'!K49,IF($S$1="NOVOgen WHITE Cages",'Standard NW Cl Ca'!K49,IF($S$1="NOVOgen WHITE Light Cages",'Standard NW Li Ca'!K49,"")))))</f>
        <v/>
      </c>
      <c r="L49" s="13" t="str">
        <f>IF($S$1="NOVOgen WHITE Alternatif",'Standard NW Cl Alt'!L49,(IF($S$1="NOVOgen WHITE Light Alternatif",'Standard NW Li Alt'!L49,IF($S$1="NOVOgen WHITE Cages",'Standard NW Cl Ca'!L49,IF($S$1="NOVOgen WHITE Light Cages",'Standard NW Li Ca'!L49,"")))))</f>
        <v/>
      </c>
    </row>
    <row r="50" spans="1:12" ht="15" customHeight="1" x14ac:dyDescent="0.2">
      <c r="A50" s="16">
        <v>60</v>
      </c>
      <c r="B50" s="17" t="str">
        <f>IF($S$1="NOVOgen WHITE Alternatif",'Standard NW Cl Alt'!B50,(IF($S$1="NOVOgen WHITE Light Alternatif",'Standard NW Li Alt'!B50,IF($S$1="NOVOgen WHITE Cages",'Standard NW Cl Ca'!B50,IF($S$1="NOVOgen WHITE Light Cages",'Standard NW Li Ca'!B50,"")))))</f>
        <v/>
      </c>
      <c r="C50" s="17" t="str">
        <f>IF($S$1="NOVOgen WHITE Alternatif",'Standard NW Cl Alt'!C50,(IF($S$1="NOVOgen WHITE Light Alternatif",'Standard NW Li Alt'!C50,IF($S$1="NOVOgen WHITE Cages",'Standard NW Cl Ca'!C50,IF($S$1="NOVOgen WHITE Light Cages",'Standard NW Li Ca'!C50,"")))))</f>
        <v/>
      </c>
      <c r="D50" s="17" t="str">
        <f>IF($S$1="NOVOgen WHITE Alternatif",'Standard NW Cl Alt'!D50,(IF($S$1="NOVOgen WHITE Light Alternatif",'Standard NW Li Alt'!D50,IF($S$1="NOVOgen WHITE Cages",'Standard NW Cl Ca'!D50,IF($S$1="NOVOgen WHITE Light Cages",'Standard NW Li Ca'!D50,"")))))</f>
        <v/>
      </c>
      <c r="E50" s="18" t="str">
        <f>IF($S$1="NOVOgen WHITE Alternatif",'Standard NW Cl Alt'!E50,(IF($S$1="NOVOgen WHITE Light Alternatif",'Standard NW Li Alt'!E50,IF($S$1="NOVOgen WHITE Cages",'Standard NW Cl Ca'!E50,IF($S$1="NOVOgen WHITE Light Cages",'Standard NW Li Ca'!E50,"")))))</f>
        <v/>
      </c>
      <c r="F50" s="17" t="str">
        <f>IF($S$1="NOVOgen WHITE Alternatif",'Standard NW Cl Alt'!F50,(IF($S$1="NOVOgen WHITE Light Alternatif",'Standard NW Li Alt'!F50,IF($S$1="NOVOgen WHITE Cages",'Standard NW Cl Ca'!F50,IF($S$1="NOVOgen WHITE Light Cages",'Standard NW Li Ca'!F50,"")))))</f>
        <v/>
      </c>
      <c r="G50" s="18" t="str">
        <f>IF($S$1="NOVOgen WHITE Alternatif",'Standard NW Cl Alt'!G50,(IF($S$1="NOVOgen WHITE Light Alternatif",'Standard NW Li Alt'!G50,IF($S$1="NOVOgen WHITE Cages",'Standard NW Cl Ca'!G50,IF($S$1="NOVOgen WHITE Light Cages",'Standard NW Li Ca'!G50,"")))))</f>
        <v/>
      </c>
      <c r="H50" s="17" t="str">
        <f>IF($S$1="NOVOgen WHITE Alternatif",'Standard NW Cl Alt'!H50,(IF($S$1="NOVOgen WHITE Light Alternatif",'Standard NW Li Alt'!H50,IF($S$1="NOVOgen WHITE Cages",'Standard NW Cl Ca'!H50,IF($S$1="NOVOgen WHITE Light Cages",'Standard NW Li Ca'!H50,"")))))</f>
        <v/>
      </c>
      <c r="I50" s="17" t="str">
        <f>IF($S$1="NOVOgen WHITE Alternatif",'Standard NW Cl Alt'!I50,(IF($S$1="NOVOgen WHITE Light Alternatif",'Standard NW Li Alt'!I50,IF($S$1="NOVOgen WHITE Cages",'Standard NW Cl Ca'!I50,IF($S$1="NOVOgen WHITE Light Cages",'Standard NW Li Ca'!I50,"")))))</f>
        <v/>
      </c>
      <c r="J50" s="18" t="str">
        <f>IF($S$1="NOVOgen WHITE Alternatif",'Standard NW Cl Alt'!J50,(IF($S$1="NOVOgen WHITE Light Alternatif",'Standard NW Li Alt'!J50,IF($S$1="NOVOgen WHITE Cages",'Standard NW Cl Ca'!J50,IF($S$1="NOVOgen WHITE Light Cages",'Standard NW Li Ca'!J50,"")))))</f>
        <v/>
      </c>
      <c r="K50" s="19" t="str">
        <f>IF($S$1="NOVOgen WHITE Alternatif",'Standard NW Cl Alt'!K50,(IF($S$1="NOVOgen WHITE Light Alternatif",'Standard NW Li Alt'!K50,IF($S$1="NOVOgen WHITE Cages",'Standard NW Cl Ca'!K50,IF($S$1="NOVOgen WHITE Light Cages",'Standard NW Li Ca'!K50,"")))))</f>
        <v/>
      </c>
      <c r="L50" s="17" t="str">
        <f>IF($S$1="NOVOgen WHITE Alternatif",'Standard NW Cl Alt'!L50,(IF($S$1="NOVOgen WHITE Light Alternatif",'Standard NW Li Alt'!L50,IF($S$1="NOVOgen WHITE Cages",'Standard NW Cl Ca'!L50,IF($S$1="NOVOgen WHITE Light Cages",'Standard NW Li Ca'!L50,"")))))</f>
        <v/>
      </c>
    </row>
    <row r="51" spans="1:12" ht="15" customHeight="1" x14ac:dyDescent="0.2">
      <c r="A51" s="10">
        <v>61</v>
      </c>
      <c r="B51" s="13" t="str">
        <f>IF($S$1="NOVOgen WHITE Alternatif",'Standard NW Cl Alt'!B51,(IF($S$1="NOVOgen WHITE Light Alternatif",'Standard NW Li Alt'!B51,IF($S$1="NOVOgen WHITE Cages",'Standard NW Cl Ca'!B51,IF($S$1="NOVOgen WHITE Light Cages",'Standard NW Li Ca'!B51,"")))))</f>
        <v/>
      </c>
      <c r="C51" s="13" t="str">
        <f>IF($S$1="NOVOgen WHITE Alternatif",'Standard NW Cl Alt'!C51,(IF($S$1="NOVOgen WHITE Light Alternatif",'Standard NW Li Alt'!C51,IF($S$1="NOVOgen WHITE Cages",'Standard NW Cl Ca'!C51,IF($S$1="NOVOgen WHITE Light Cages",'Standard NW Li Ca'!C51,"")))))</f>
        <v/>
      </c>
      <c r="D51" s="13" t="str">
        <f>IF($S$1="NOVOgen WHITE Alternatif",'Standard NW Cl Alt'!D51,(IF($S$1="NOVOgen WHITE Light Alternatif",'Standard NW Li Alt'!D51,IF($S$1="NOVOgen WHITE Cages",'Standard NW Cl Ca'!D51,IF($S$1="NOVOgen WHITE Light Cages",'Standard NW Li Ca'!D51,"")))))</f>
        <v/>
      </c>
      <c r="E51" s="14" t="str">
        <f>IF($S$1="NOVOgen WHITE Alternatif",'Standard NW Cl Alt'!E51,(IF($S$1="NOVOgen WHITE Light Alternatif",'Standard NW Li Alt'!E51,IF($S$1="NOVOgen WHITE Cages",'Standard NW Cl Ca'!E51,IF($S$1="NOVOgen WHITE Light Cages",'Standard NW Li Ca'!E51,"")))))</f>
        <v/>
      </c>
      <c r="F51" s="13" t="str">
        <f>IF($S$1="NOVOgen WHITE Alternatif",'Standard NW Cl Alt'!F51,(IF($S$1="NOVOgen WHITE Light Alternatif",'Standard NW Li Alt'!F51,IF($S$1="NOVOgen WHITE Cages",'Standard NW Cl Ca'!F51,IF($S$1="NOVOgen WHITE Light Cages",'Standard NW Li Ca'!F51,"")))))</f>
        <v/>
      </c>
      <c r="G51" s="14" t="str">
        <f>IF($S$1="NOVOgen WHITE Alternatif",'Standard NW Cl Alt'!G51,(IF($S$1="NOVOgen WHITE Light Alternatif",'Standard NW Li Alt'!G51,IF($S$1="NOVOgen WHITE Cages",'Standard NW Cl Ca'!G51,IF($S$1="NOVOgen WHITE Light Cages",'Standard NW Li Ca'!G51,"")))))</f>
        <v/>
      </c>
      <c r="H51" s="13" t="str">
        <f>IF($S$1="NOVOgen WHITE Alternatif",'Standard NW Cl Alt'!H51,(IF($S$1="NOVOgen WHITE Light Alternatif",'Standard NW Li Alt'!H51,IF($S$1="NOVOgen WHITE Cages",'Standard NW Cl Ca'!H51,IF($S$1="NOVOgen WHITE Light Cages",'Standard NW Li Ca'!H51,"")))))</f>
        <v/>
      </c>
      <c r="I51" s="13" t="str">
        <f>IF($S$1="NOVOgen WHITE Alternatif",'Standard NW Cl Alt'!I51,(IF($S$1="NOVOgen WHITE Light Alternatif",'Standard NW Li Alt'!I51,IF($S$1="NOVOgen WHITE Cages",'Standard NW Cl Ca'!I51,IF($S$1="NOVOgen WHITE Light Cages",'Standard NW Li Ca'!I51,"")))))</f>
        <v/>
      </c>
      <c r="J51" s="14" t="str">
        <f>IF($S$1="NOVOgen WHITE Alternatif",'Standard NW Cl Alt'!J51,(IF($S$1="NOVOgen WHITE Light Alternatif",'Standard NW Li Alt'!J51,IF($S$1="NOVOgen WHITE Cages",'Standard NW Cl Ca'!J51,IF($S$1="NOVOgen WHITE Light Cages",'Standard NW Li Ca'!J51,"")))))</f>
        <v/>
      </c>
      <c r="K51" s="15" t="str">
        <f>IF($S$1="NOVOgen WHITE Alternatif",'Standard NW Cl Alt'!K51,(IF($S$1="NOVOgen WHITE Light Alternatif",'Standard NW Li Alt'!K51,IF($S$1="NOVOgen WHITE Cages",'Standard NW Cl Ca'!K51,IF($S$1="NOVOgen WHITE Light Cages",'Standard NW Li Ca'!K51,"")))))</f>
        <v/>
      </c>
      <c r="L51" s="13" t="str">
        <f>IF($S$1="NOVOgen WHITE Alternatif",'Standard NW Cl Alt'!L51,(IF($S$1="NOVOgen WHITE Light Alternatif",'Standard NW Li Alt'!L51,IF($S$1="NOVOgen WHITE Cages",'Standard NW Cl Ca'!L51,IF($S$1="NOVOgen WHITE Light Cages",'Standard NW Li Ca'!L51,"")))))</f>
        <v/>
      </c>
    </row>
    <row r="52" spans="1:12" ht="15" customHeight="1" x14ac:dyDescent="0.2">
      <c r="A52" s="10">
        <v>62</v>
      </c>
      <c r="B52" s="13" t="str">
        <f>IF($S$1="NOVOgen WHITE Alternatif",'Standard NW Cl Alt'!B52,(IF($S$1="NOVOgen WHITE Light Alternatif",'Standard NW Li Alt'!B52,IF($S$1="NOVOgen WHITE Cages",'Standard NW Cl Ca'!B52,IF($S$1="NOVOgen WHITE Light Cages",'Standard NW Li Ca'!B52,"")))))</f>
        <v/>
      </c>
      <c r="C52" s="13" t="str">
        <f>IF($S$1="NOVOgen WHITE Alternatif",'Standard NW Cl Alt'!C52,(IF($S$1="NOVOgen WHITE Light Alternatif",'Standard NW Li Alt'!C52,IF($S$1="NOVOgen WHITE Cages",'Standard NW Cl Ca'!C52,IF($S$1="NOVOgen WHITE Light Cages",'Standard NW Li Ca'!C52,"")))))</f>
        <v/>
      </c>
      <c r="D52" s="13" t="str">
        <f>IF($S$1="NOVOgen WHITE Alternatif",'Standard NW Cl Alt'!D52,(IF($S$1="NOVOgen WHITE Light Alternatif",'Standard NW Li Alt'!D52,IF($S$1="NOVOgen WHITE Cages",'Standard NW Cl Ca'!D52,IF($S$1="NOVOgen WHITE Light Cages",'Standard NW Li Ca'!D52,"")))))</f>
        <v/>
      </c>
      <c r="E52" s="14" t="str">
        <f>IF($S$1="NOVOgen WHITE Alternatif",'Standard NW Cl Alt'!E52,(IF($S$1="NOVOgen WHITE Light Alternatif",'Standard NW Li Alt'!E52,IF($S$1="NOVOgen WHITE Cages",'Standard NW Cl Ca'!E52,IF($S$1="NOVOgen WHITE Light Cages",'Standard NW Li Ca'!E52,"")))))</f>
        <v/>
      </c>
      <c r="F52" s="13" t="str">
        <f>IF($S$1="NOVOgen WHITE Alternatif",'Standard NW Cl Alt'!F52,(IF($S$1="NOVOgen WHITE Light Alternatif",'Standard NW Li Alt'!F52,IF($S$1="NOVOgen WHITE Cages",'Standard NW Cl Ca'!F52,IF($S$1="NOVOgen WHITE Light Cages",'Standard NW Li Ca'!F52,"")))))</f>
        <v/>
      </c>
      <c r="G52" s="14" t="str">
        <f>IF($S$1="NOVOgen WHITE Alternatif",'Standard NW Cl Alt'!G52,(IF($S$1="NOVOgen WHITE Light Alternatif",'Standard NW Li Alt'!G52,IF($S$1="NOVOgen WHITE Cages",'Standard NW Cl Ca'!G52,IF($S$1="NOVOgen WHITE Light Cages",'Standard NW Li Ca'!G52,"")))))</f>
        <v/>
      </c>
      <c r="H52" s="13" t="str">
        <f>IF($S$1="NOVOgen WHITE Alternatif",'Standard NW Cl Alt'!H52,(IF($S$1="NOVOgen WHITE Light Alternatif",'Standard NW Li Alt'!H52,IF($S$1="NOVOgen WHITE Cages",'Standard NW Cl Ca'!H52,IF($S$1="NOVOgen WHITE Light Cages",'Standard NW Li Ca'!H52,"")))))</f>
        <v/>
      </c>
      <c r="I52" s="13" t="str">
        <f>IF($S$1="NOVOgen WHITE Alternatif",'Standard NW Cl Alt'!I52,(IF($S$1="NOVOgen WHITE Light Alternatif",'Standard NW Li Alt'!I52,IF($S$1="NOVOgen WHITE Cages",'Standard NW Cl Ca'!I52,IF($S$1="NOVOgen WHITE Light Cages",'Standard NW Li Ca'!I52,"")))))</f>
        <v/>
      </c>
      <c r="J52" s="14" t="str">
        <f>IF($S$1="NOVOgen WHITE Alternatif",'Standard NW Cl Alt'!J52,(IF($S$1="NOVOgen WHITE Light Alternatif",'Standard NW Li Alt'!J52,IF($S$1="NOVOgen WHITE Cages",'Standard NW Cl Ca'!J52,IF($S$1="NOVOgen WHITE Light Cages",'Standard NW Li Ca'!J52,"")))))</f>
        <v/>
      </c>
      <c r="K52" s="15" t="str">
        <f>IF($S$1="NOVOgen WHITE Alternatif",'Standard NW Cl Alt'!K52,(IF($S$1="NOVOgen WHITE Light Alternatif",'Standard NW Li Alt'!K52,IF($S$1="NOVOgen WHITE Cages",'Standard NW Cl Ca'!K52,IF($S$1="NOVOgen WHITE Light Cages",'Standard NW Li Ca'!K52,"")))))</f>
        <v/>
      </c>
      <c r="L52" s="13" t="str">
        <f>IF($S$1="NOVOgen WHITE Alternatif",'Standard NW Cl Alt'!L52,(IF($S$1="NOVOgen WHITE Light Alternatif",'Standard NW Li Alt'!L52,IF($S$1="NOVOgen WHITE Cages",'Standard NW Cl Ca'!L52,IF($S$1="NOVOgen WHITE Light Cages",'Standard NW Li Ca'!L52,"")))))</f>
        <v/>
      </c>
    </row>
    <row r="53" spans="1:12" ht="15" customHeight="1" x14ac:dyDescent="0.2">
      <c r="A53" s="10">
        <v>63</v>
      </c>
      <c r="B53" s="13" t="str">
        <f>IF($S$1="NOVOgen WHITE Alternatif",'Standard NW Cl Alt'!B53,(IF($S$1="NOVOgen WHITE Light Alternatif",'Standard NW Li Alt'!B53,IF($S$1="NOVOgen WHITE Cages",'Standard NW Cl Ca'!B53,IF($S$1="NOVOgen WHITE Light Cages",'Standard NW Li Ca'!B53,"")))))</f>
        <v/>
      </c>
      <c r="C53" s="13" t="str">
        <f>IF($S$1="NOVOgen WHITE Alternatif",'Standard NW Cl Alt'!C53,(IF($S$1="NOVOgen WHITE Light Alternatif",'Standard NW Li Alt'!C53,IF($S$1="NOVOgen WHITE Cages",'Standard NW Cl Ca'!C53,IF($S$1="NOVOgen WHITE Light Cages",'Standard NW Li Ca'!C53,"")))))</f>
        <v/>
      </c>
      <c r="D53" s="13" t="str">
        <f>IF($S$1="NOVOgen WHITE Alternatif",'Standard NW Cl Alt'!D53,(IF($S$1="NOVOgen WHITE Light Alternatif",'Standard NW Li Alt'!D53,IF($S$1="NOVOgen WHITE Cages",'Standard NW Cl Ca'!D53,IF($S$1="NOVOgen WHITE Light Cages",'Standard NW Li Ca'!D53,"")))))</f>
        <v/>
      </c>
      <c r="E53" s="14" t="str">
        <f>IF($S$1="NOVOgen WHITE Alternatif",'Standard NW Cl Alt'!E53,(IF($S$1="NOVOgen WHITE Light Alternatif",'Standard NW Li Alt'!E53,IF($S$1="NOVOgen WHITE Cages",'Standard NW Cl Ca'!E53,IF($S$1="NOVOgen WHITE Light Cages",'Standard NW Li Ca'!E53,"")))))</f>
        <v/>
      </c>
      <c r="F53" s="13" t="str">
        <f>IF($S$1="NOVOgen WHITE Alternatif",'Standard NW Cl Alt'!F53,(IF($S$1="NOVOgen WHITE Light Alternatif",'Standard NW Li Alt'!F53,IF($S$1="NOVOgen WHITE Cages",'Standard NW Cl Ca'!F53,IF($S$1="NOVOgen WHITE Light Cages",'Standard NW Li Ca'!F53,"")))))</f>
        <v/>
      </c>
      <c r="G53" s="14" t="str">
        <f>IF($S$1="NOVOgen WHITE Alternatif",'Standard NW Cl Alt'!G53,(IF($S$1="NOVOgen WHITE Light Alternatif",'Standard NW Li Alt'!G53,IF($S$1="NOVOgen WHITE Cages",'Standard NW Cl Ca'!G53,IF($S$1="NOVOgen WHITE Light Cages",'Standard NW Li Ca'!G53,"")))))</f>
        <v/>
      </c>
      <c r="H53" s="13" t="str">
        <f>IF($S$1="NOVOgen WHITE Alternatif",'Standard NW Cl Alt'!H53,(IF($S$1="NOVOgen WHITE Light Alternatif",'Standard NW Li Alt'!H53,IF($S$1="NOVOgen WHITE Cages",'Standard NW Cl Ca'!H53,IF($S$1="NOVOgen WHITE Light Cages",'Standard NW Li Ca'!H53,"")))))</f>
        <v/>
      </c>
      <c r="I53" s="13" t="str">
        <f>IF($S$1="NOVOgen WHITE Alternatif",'Standard NW Cl Alt'!I53,(IF($S$1="NOVOgen WHITE Light Alternatif",'Standard NW Li Alt'!I53,IF($S$1="NOVOgen WHITE Cages",'Standard NW Cl Ca'!I53,IF($S$1="NOVOgen WHITE Light Cages",'Standard NW Li Ca'!I53,"")))))</f>
        <v/>
      </c>
      <c r="J53" s="14" t="str">
        <f>IF($S$1="NOVOgen WHITE Alternatif",'Standard NW Cl Alt'!J53,(IF($S$1="NOVOgen WHITE Light Alternatif",'Standard NW Li Alt'!J53,IF($S$1="NOVOgen WHITE Cages",'Standard NW Cl Ca'!J53,IF($S$1="NOVOgen WHITE Light Cages",'Standard NW Li Ca'!J53,"")))))</f>
        <v/>
      </c>
      <c r="K53" s="15" t="str">
        <f>IF($S$1="NOVOgen WHITE Alternatif",'Standard NW Cl Alt'!K53,(IF($S$1="NOVOgen WHITE Light Alternatif",'Standard NW Li Alt'!K53,IF($S$1="NOVOgen WHITE Cages",'Standard NW Cl Ca'!K53,IF($S$1="NOVOgen WHITE Light Cages",'Standard NW Li Ca'!K53,"")))))</f>
        <v/>
      </c>
      <c r="L53" s="13" t="str">
        <f>IF($S$1="NOVOgen WHITE Alternatif",'Standard NW Cl Alt'!L53,(IF($S$1="NOVOgen WHITE Light Alternatif",'Standard NW Li Alt'!L53,IF($S$1="NOVOgen WHITE Cages",'Standard NW Cl Ca'!L53,IF($S$1="NOVOgen WHITE Light Cages",'Standard NW Li Ca'!L53,"")))))</f>
        <v/>
      </c>
    </row>
    <row r="54" spans="1:12" ht="15" customHeight="1" x14ac:dyDescent="0.2">
      <c r="A54" s="16">
        <v>64</v>
      </c>
      <c r="B54" s="17" t="str">
        <f>IF($S$1="NOVOgen WHITE Alternatif",'Standard NW Cl Alt'!B54,(IF($S$1="NOVOgen WHITE Light Alternatif",'Standard NW Li Alt'!B54,IF($S$1="NOVOgen WHITE Cages",'Standard NW Cl Ca'!B54,IF($S$1="NOVOgen WHITE Light Cages",'Standard NW Li Ca'!B54,"")))))</f>
        <v/>
      </c>
      <c r="C54" s="17" t="str">
        <f>IF($S$1="NOVOgen WHITE Alternatif",'Standard NW Cl Alt'!C54,(IF($S$1="NOVOgen WHITE Light Alternatif",'Standard NW Li Alt'!C54,IF($S$1="NOVOgen WHITE Cages",'Standard NW Cl Ca'!C54,IF($S$1="NOVOgen WHITE Light Cages",'Standard NW Li Ca'!C54,"")))))</f>
        <v/>
      </c>
      <c r="D54" s="17" t="str">
        <f>IF($S$1="NOVOgen WHITE Alternatif",'Standard NW Cl Alt'!D54,(IF($S$1="NOVOgen WHITE Light Alternatif",'Standard NW Li Alt'!D54,IF($S$1="NOVOgen WHITE Cages",'Standard NW Cl Ca'!D54,IF($S$1="NOVOgen WHITE Light Cages",'Standard NW Li Ca'!D54,"")))))</f>
        <v/>
      </c>
      <c r="E54" s="18" t="str">
        <f>IF($S$1="NOVOgen WHITE Alternatif",'Standard NW Cl Alt'!E54,(IF($S$1="NOVOgen WHITE Light Alternatif",'Standard NW Li Alt'!E54,IF($S$1="NOVOgen WHITE Cages",'Standard NW Cl Ca'!E54,IF($S$1="NOVOgen WHITE Light Cages",'Standard NW Li Ca'!E54,"")))))</f>
        <v/>
      </c>
      <c r="F54" s="17" t="str">
        <f>IF($S$1="NOVOgen WHITE Alternatif",'Standard NW Cl Alt'!F54,(IF($S$1="NOVOgen WHITE Light Alternatif",'Standard NW Li Alt'!F54,IF($S$1="NOVOgen WHITE Cages",'Standard NW Cl Ca'!F54,IF($S$1="NOVOgen WHITE Light Cages",'Standard NW Li Ca'!F54,"")))))</f>
        <v/>
      </c>
      <c r="G54" s="18" t="str">
        <f>IF($S$1="NOVOgen WHITE Alternatif",'Standard NW Cl Alt'!G54,(IF($S$1="NOVOgen WHITE Light Alternatif",'Standard NW Li Alt'!G54,IF($S$1="NOVOgen WHITE Cages",'Standard NW Cl Ca'!G54,IF($S$1="NOVOgen WHITE Light Cages",'Standard NW Li Ca'!G54,"")))))</f>
        <v/>
      </c>
      <c r="H54" s="17" t="str">
        <f>IF($S$1="NOVOgen WHITE Alternatif",'Standard NW Cl Alt'!H54,(IF($S$1="NOVOgen WHITE Light Alternatif",'Standard NW Li Alt'!H54,IF($S$1="NOVOgen WHITE Cages",'Standard NW Cl Ca'!H54,IF($S$1="NOVOgen WHITE Light Cages",'Standard NW Li Ca'!H54,"")))))</f>
        <v/>
      </c>
      <c r="I54" s="17" t="str">
        <f>IF($S$1="NOVOgen WHITE Alternatif",'Standard NW Cl Alt'!I54,(IF($S$1="NOVOgen WHITE Light Alternatif",'Standard NW Li Alt'!I54,IF($S$1="NOVOgen WHITE Cages",'Standard NW Cl Ca'!I54,IF($S$1="NOVOgen WHITE Light Cages",'Standard NW Li Ca'!I54,"")))))</f>
        <v/>
      </c>
      <c r="J54" s="18" t="str">
        <f>IF($S$1="NOVOgen WHITE Alternatif",'Standard NW Cl Alt'!J54,(IF($S$1="NOVOgen WHITE Light Alternatif",'Standard NW Li Alt'!J54,IF($S$1="NOVOgen WHITE Cages",'Standard NW Cl Ca'!J54,IF($S$1="NOVOgen WHITE Light Cages",'Standard NW Li Ca'!J54,"")))))</f>
        <v/>
      </c>
      <c r="K54" s="19" t="str">
        <f>IF($S$1="NOVOgen WHITE Alternatif",'Standard NW Cl Alt'!K54,(IF($S$1="NOVOgen WHITE Light Alternatif",'Standard NW Li Alt'!K54,IF($S$1="NOVOgen WHITE Cages",'Standard NW Cl Ca'!K54,IF($S$1="NOVOgen WHITE Light Cages",'Standard NW Li Ca'!K54,"")))))</f>
        <v/>
      </c>
      <c r="L54" s="17" t="str">
        <f>IF($S$1="NOVOgen WHITE Alternatif",'Standard NW Cl Alt'!L54,(IF($S$1="NOVOgen WHITE Light Alternatif",'Standard NW Li Alt'!L54,IF($S$1="NOVOgen WHITE Cages",'Standard NW Cl Ca'!L54,IF($S$1="NOVOgen WHITE Light Cages",'Standard NW Li Ca'!L54,"")))))</f>
        <v/>
      </c>
    </row>
    <row r="55" spans="1:12" ht="15" customHeight="1" x14ac:dyDescent="0.2">
      <c r="A55" s="10">
        <v>65</v>
      </c>
      <c r="B55" s="13" t="str">
        <f>IF($S$1="NOVOgen WHITE Alternatif",'Standard NW Cl Alt'!B55,(IF($S$1="NOVOgen WHITE Light Alternatif",'Standard NW Li Alt'!B55,IF($S$1="NOVOgen WHITE Cages",'Standard NW Cl Ca'!B55,IF($S$1="NOVOgen WHITE Light Cages",'Standard NW Li Ca'!B55,"")))))</f>
        <v/>
      </c>
      <c r="C55" s="13" t="str">
        <f>IF($S$1="NOVOgen WHITE Alternatif",'Standard NW Cl Alt'!C55,(IF($S$1="NOVOgen WHITE Light Alternatif",'Standard NW Li Alt'!C55,IF($S$1="NOVOgen WHITE Cages",'Standard NW Cl Ca'!C55,IF($S$1="NOVOgen WHITE Light Cages",'Standard NW Li Ca'!C55,"")))))</f>
        <v/>
      </c>
      <c r="D55" s="13" t="str">
        <f>IF($S$1="NOVOgen WHITE Alternatif",'Standard NW Cl Alt'!D55,(IF($S$1="NOVOgen WHITE Light Alternatif",'Standard NW Li Alt'!D55,IF($S$1="NOVOgen WHITE Cages",'Standard NW Cl Ca'!D55,IF($S$1="NOVOgen WHITE Light Cages",'Standard NW Li Ca'!D55,"")))))</f>
        <v/>
      </c>
      <c r="E55" s="14" t="str">
        <f>IF($S$1="NOVOgen WHITE Alternatif",'Standard NW Cl Alt'!E55,(IF($S$1="NOVOgen WHITE Light Alternatif",'Standard NW Li Alt'!E55,IF($S$1="NOVOgen WHITE Cages",'Standard NW Cl Ca'!E55,IF($S$1="NOVOgen WHITE Light Cages",'Standard NW Li Ca'!E55,"")))))</f>
        <v/>
      </c>
      <c r="F55" s="13" t="str">
        <f>IF($S$1="NOVOgen WHITE Alternatif",'Standard NW Cl Alt'!F55,(IF($S$1="NOVOgen WHITE Light Alternatif",'Standard NW Li Alt'!F55,IF($S$1="NOVOgen WHITE Cages",'Standard NW Cl Ca'!F55,IF($S$1="NOVOgen WHITE Light Cages",'Standard NW Li Ca'!F55,"")))))</f>
        <v/>
      </c>
      <c r="G55" s="14" t="str">
        <f>IF($S$1="NOVOgen WHITE Alternatif",'Standard NW Cl Alt'!G55,(IF($S$1="NOVOgen WHITE Light Alternatif",'Standard NW Li Alt'!G55,IF($S$1="NOVOgen WHITE Cages",'Standard NW Cl Ca'!G55,IF($S$1="NOVOgen WHITE Light Cages",'Standard NW Li Ca'!G55,"")))))</f>
        <v/>
      </c>
      <c r="H55" s="13" t="str">
        <f>IF($S$1="NOVOgen WHITE Alternatif",'Standard NW Cl Alt'!H55,(IF($S$1="NOVOgen WHITE Light Alternatif",'Standard NW Li Alt'!H55,IF($S$1="NOVOgen WHITE Cages",'Standard NW Cl Ca'!H55,IF($S$1="NOVOgen WHITE Light Cages",'Standard NW Li Ca'!H55,"")))))</f>
        <v/>
      </c>
      <c r="I55" s="13" t="str">
        <f>IF($S$1="NOVOgen WHITE Alternatif",'Standard NW Cl Alt'!I55,(IF($S$1="NOVOgen WHITE Light Alternatif",'Standard NW Li Alt'!I55,IF($S$1="NOVOgen WHITE Cages",'Standard NW Cl Ca'!I55,IF($S$1="NOVOgen WHITE Light Cages",'Standard NW Li Ca'!I55,"")))))</f>
        <v/>
      </c>
      <c r="J55" s="14" t="str">
        <f>IF($S$1="NOVOgen WHITE Alternatif",'Standard NW Cl Alt'!J55,(IF($S$1="NOVOgen WHITE Light Alternatif",'Standard NW Li Alt'!J55,IF($S$1="NOVOgen WHITE Cages",'Standard NW Cl Ca'!J55,IF($S$1="NOVOgen WHITE Light Cages",'Standard NW Li Ca'!J55,"")))))</f>
        <v/>
      </c>
      <c r="K55" s="15" t="str">
        <f>IF($S$1="NOVOgen WHITE Alternatif",'Standard NW Cl Alt'!K55,(IF($S$1="NOVOgen WHITE Light Alternatif",'Standard NW Li Alt'!K55,IF($S$1="NOVOgen WHITE Cages",'Standard NW Cl Ca'!K55,IF($S$1="NOVOgen WHITE Light Cages",'Standard NW Li Ca'!K55,"")))))</f>
        <v/>
      </c>
      <c r="L55" s="13" t="str">
        <f>IF($S$1="NOVOgen WHITE Alternatif",'Standard NW Cl Alt'!L55,(IF($S$1="NOVOgen WHITE Light Alternatif",'Standard NW Li Alt'!L55,IF($S$1="NOVOgen WHITE Cages",'Standard NW Cl Ca'!L55,IF($S$1="NOVOgen WHITE Light Cages",'Standard NW Li Ca'!L55,"")))))</f>
        <v/>
      </c>
    </row>
    <row r="56" spans="1:12" ht="15" customHeight="1" x14ac:dyDescent="0.2">
      <c r="A56" s="10">
        <v>66</v>
      </c>
      <c r="B56" s="13" t="str">
        <f>IF($S$1="NOVOgen WHITE Alternatif",'Standard NW Cl Alt'!B56,(IF($S$1="NOVOgen WHITE Light Alternatif",'Standard NW Li Alt'!B56,IF($S$1="NOVOgen WHITE Cages",'Standard NW Cl Ca'!B56,IF($S$1="NOVOgen WHITE Light Cages",'Standard NW Li Ca'!B56,"")))))</f>
        <v/>
      </c>
      <c r="C56" s="13" t="str">
        <f>IF($S$1="NOVOgen WHITE Alternatif",'Standard NW Cl Alt'!C56,(IF($S$1="NOVOgen WHITE Light Alternatif",'Standard NW Li Alt'!C56,IF($S$1="NOVOgen WHITE Cages",'Standard NW Cl Ca'!C56,IF($S$1="NOVOgen WHITE Light Cages",'Standard NW Li Ca'!C56,"")))))</f>
        <v/>
      </c>
      <c r="D56" s="13" t="str">
        <f>IF($S$1="NOVOgen WHITE Alternatif",'Standard NW Cl Alt'!D56,(IF($S$1="NOVOgen WHITE Light Alternatif",'Standard NW Li Alt'!D56,IF($S$1="NOVOgen WHITE Cages",'Standard NW Cl Ca'!D56,IF($S$1="NOVOgen WHITE Light Cages",'Standard NW Li Ca'!D56,"")))))</f>
        <v/>
      </c>
      <c r="E56" s="14" t="str">
        <f>IF($S$1="NOVOgen WHITE Alternatif",'Standard NW Cl Alt'!E56,(IF($S$1="NOVOgen WHITE Light Alternatif",'Standard NW Li Alt'!E56,IF($S$1="NOVOgen WHITE Cages",'Standard NW Cl Ca'!E56,IF($S$1="NOVOgen WHITE Light Cages",'Standard NW Li Ca'!E56,"")))))</f>
        <v/>
      </c>
      <c r="F56" s="13" t="str">
        <f>IF($S$1="NOVOgen WHITE Alternatif",'Standard NW Cl Alt'!F56,(IF($S$1="NOVOgen WHITE Light Alternatif",'Standard NW Li Alt'!F56,IF($S$1="NOVOgen WHITE Cages",'Standard NW Cl Ca'!F56,IF($S$1="NOVOgen WHITE Light Cages",'Standard NW Li Ca'!F56,"")))))</f>
        <v/>
      </c>
      <c r="G56" s="14" t="str">
        <f>IF($S$1="NOVOgen WHITE Alternatif",'Standard NW Cl Alt'!G56,(IF($S$1="NOVOgen WHITE Light Alternatif",'Standard NW Li Alt'!G56,IF($S$1="NOVOgen WHITE Cages",'Standard NW Cl Ca'!G56,IF($S$1="NOVOgen WHITE Light Cages",'Standard NW Li Ca'!G56,"")))))</f>
        <v/>
      </c>
      <c r="H56" s="13" t="str">
        <f>IF($S$1="NOVOgen WHITE Alternatif",'Standard NW Cl Alt'!H56,(IF($S$1="NOVOgen WHITE Light Alternatif",'Standard NW Li Alt'!H56,IF($S$1="NOVOgen WHITE Cages",'Standard NW Cl Ca'!H56,IF($S$1="NOVOgen WHITE Light Cages",'Standard NW Li Ca'!H56,"")))))</f>
        <v/>
      </c>
      <c r="I56" s="13" t="str">
        <f>IF($S$1="NOVOgen WHITE Alternatif",'Standard NW Cl Alt'!I56,(IF($S$1="NOVOgen WHITE Light Alternatif",'Standard NW Li Alt'!I56,IF($S$1="NOVOgen WHITE Cages",'Standard NW Cl Ca'!I56,IF($S$1="NOVOgen WHITE Light Cages",'Standard NW Li Ca'!I56,"")))))</f>
        <v/>
      </c>
      <c r="J56" s="14" t="str">
        <f>IF($S$1="NOVOgen WHITE Alternatif",'Standard NW Cl Alt'!J56,(IF($S$1="NOVOgen WHITE Light Alternatif",'Standard NW Li Alt'!J56,IF($S$1="NOVOgen WHITE Cages",'Standard NW Cl Ca'!J56,IF($S$1="NOVOgen WHITE Light Cages",'Standard NW Li Ca'!J56,"")))))</f>
        <v/>
      </c>
      <c r="K56" s="15" t="str">
        <f>IF($S$1="NOVOgen WHITE Alternatif",'Standard NW Cl Alt'!K56,(IF($S$1="NOVOgen WHITE Light Alternatif",'Standard NW Li Alt'!K56,IF($S$1="NOVOgen WHITE Cages",'Standard NW Cl Ca'!K56,IF($S$1="NOVOgen WHITE Light Cages",'Standard NW Li Ca'!K56,"")))))</f>
        <v/>
      </c>
      <c r="L56" s="13" t="str">
        <f>IF($S$1="NOVOgen WHITE Alternatif",'Standard NW Cl Alt'!L56,(IF($S$1="NOVOgen WHITE Light Alternatif",'Standard NW Li Alt'!L56,IF($S$1="NOVOgen WHITE Cages",'Standard NW Cl Ca'!L56,IF($S$1="NOVOgen WHITE Light Cages",'Standard NW Li Ca'!L56,"")))))</f>
        <v/>
      </c>
    </row>
    <row r="57" spans="1:12" ht="15" customHeight="1" x14ac:dyDescent="0.2">
      <c r="A57" s="10">
        <v>67</v>
      </c>
      <c r="B57" s="13" t="str">
        <f>IF($S$1="NOVOgen WHITE Alternatif",'Standard NW Cl Alt'!B57,(IF($S$1="NOVOgen WHITE Light Alternatif",'Standard NW Li Alt'!B57,IF($S$1="NOVOgen WHITE Cages",'Standard NW Cl Ca'!B57,IF($S$1="NOVOgen WHITE Light Cages",'Standard NW Li Ca'!B57,"")))))</f>
        <v/>
      </c>
      <c r="C57" s="13" t="str">
        <f>IF($S$1="NOVOgen WHITE Alternatif",'Standard NW Cl Alt'!C57,(IF($S$1="NOVOgen WHITE Light Alternatif",'Standard NW Li Alt'!C57,IF($S$1="NOVOgen WHITE Cages",'Standard NW Cl Ca'!C57,IF($S$1="NOVOgen WHITE Light Cages",'Standard NW Li Ca'!C57,"")))))</f>
        <v/>
      </c>
      <c r="D57" s="13" t="str">
        <f>IF($S$1="NOVOgen WHITE Alternatif",'Standard NW Cl Alt'!D57,(IF($S$1="NOVOgen WHITE Light Alternatif",'Standard NW Li Alt'!D57,IF($S$1="NOVOgen WHITE Cages",'Standard NW Cl Ca'!D57,IF($S$1="NOVOgen WHITE Light Cages",'Standard NW Li Ca'!D57,"")))))</f>
        <v/>
      </c>
      <c r="E57" s="14" t="str">
        <f>IF($S$1="NOVOgen WHITE Alternatif",'Standard NW Cl Alt'!E57,(IF($S$1="NOVOgen WHITE Light Alternatif",'Standard NW Li Alt'!E57,IF($S$1="NOVOgen WHITE Cages",'Standard NW Cl Ca'!E57,IF($S$1="NOVOgen WHITE Light Cages",'Standard NW Li Ca'!E57,"")))))</f>
        <v/>
      </c>
      <c r="F57" s="13" t="str">
        <f>IF($S$1="NOVOgen WHITE Alternatif",'Standard NW Cl Alt'!F57,(IF($S$1="NOVOgen WHITE Light Alternatif",'Standard NW Li Alt'!F57,IF($S$1="NOVOgen WHITE Cages",'Standard NW Cl Ca'!F57,IF($S$1="NOVOgen WHITE Light Cages",'Standard NW Li Ca'!F57,"")))))</f>
        <v/>
      </c>
      <c r="G57" s="14" t="str">
        <f>IF($S$1="NOVOgen WHITE Alternatif",'Standard NW Cl Alt'!G57,(IF($S$1="NOVOgen WHITE Light Alternatif",'Standard NW Li Alt'!G57,IF($S$1="NOVOgen WHITE Cages",'Standard NW Cl Ca'!G57,IF($S$1="NOVOgen WHITE Light Cages",'Standard NW Li Ca'!G57,"")))))</f>
        <v/>
      </c>
      <c r="H57" s="13" t="str">
        <f>IF($S$1="NOVOgen WHITE Alternatif",'Standard NW Cl Alt'!H57,(IF($S$1="NOVOgen WHITE Light Alternatif",'Standard NW Li Alt'!H57,IF($S$1="NOVOgen WHITE Cages",'Standard NW Cl Ca'!H57,IF($S$1="NOVOgen WHITE Light Cages",'Standard NW Li Ca'!H57,"")))))</f>
        <v/>
      </c>
      <c r="I57" s="13" t="str">
        <f>IF($S$1="NOVOgen WHITE Alternatif",'Standard NW Cl Alt'!I57,(IF($S$1="NOVOgen WHITE Light Alternatif",'Standard NW Li Alt'!I57,IF($S$1="NOVOgen WHITE Cages",'Standard NW Cl Ca'!I57,IF($S$1="NOVOgen WHITE Light Cages",'Standard NW Li Ca'!I57,"")))))</f>
        <v/>
      </c>
      <c r="J57" s="14" t="str">
        <f>IF($S$1="NOVOgen WHITE Alternatif",'Standard NW Cl Alt'!J57,(IF($S$1="NOVOgen WHITE Light Alternatif",'Standard NW Li Alt'!J57,IF($S$1="NOVOgen WHITE Cages",'Standard NW Cl Ca'!J57,IF($S$1="NOVOgen WHITE Light Cages",'Standard NW Li Ca'!J57,"")))))</f>
        <v/>
      </c>
      <c r="K57" s="15" t="str">
        <f>IF($S$1="NOVOgen WHITE Alternatif",'Standard NW Cl Alt'!K57,(IF($S$1="NOVOgen WHITE Light Alternatif",'Standard NW Li Alt'!K57,IF($S$1="NOVOgen WHITE Cages",'Standard NW Cl Ca'!K57,IF($S$1="NOVOgen WHITE Light Cages",'Standard NW Li Ca'!K57,"")))))</f>
        <v/>
      </c>
      <c r="L57" s="13" t="str">
        <f>IF($S$1="NOVOgen WHITE Alternatif",'Standard NW Cl Alt'!L57,(IF($S$1="NOVOgen WHITE Light Alternatif",'Standard NW Li Alt'!L57,IF($S$1="NOVOgen WHITE Cages",'Standard NW Cl Ca'!L57,IF($S$1="NOVOgen WHITE Light Cages",'Standard NW Li Ca'!L57,"")))))</f>
        <v/>
      </c>
    </row>
    <row r="58" spans="1:12" ht="15" customHeight="1" x14ac:dyDescent="0.2">
      <c r="A58" s="16">
        <v>68</v>
      </c>
      <c r="B58" s="17" t="str">
        <f>IF($S$1="NOVOgen WHITE Alternatif",'Standard NW Cl Alt'!B58,(IF($S$1="NOVOgen WHITE Light Alternatif",'Standard NW Li Alt'!B58,IF($S$1="NOVOgen WHITE Cages",'Standard NW Cl Ca'!B58,IF($S$1="NOVOgen WHITE Light Cages",'Standard NW Li Ca'!B58,"")))))</f>
        <v/>
      </c>
      <c r="C58" s="17" t="str">
        <f>IF($S$1="NOVOgen WHITE Alternatif",'Standard NW Cl Alt'!C58,(IF($S$1="NOVOgen WHITE Light Alternatif",'Standard NW Li Alt'!C58,IF($S$1="NOVOgen WHITE Cages",'Standard NW Cl Ca'!C58,IF($S$1="NOVOgen WHITE Light Cages",'Standard NW Li Ca'!C58,"")))))</f>
        <v/>
      </c>
      <c r="D58" s="17" t="str">
        <f>IF($S$1="NOVOgen WHITE Alternatif",'Standard NW Cl Alt'!D58,(IF($S$1="NOVOgen WHITE Light Alternatif",'Standard NW Li Alt'!D58,IF($S$1="NOVOgen WHITE Cages",'Standard NW Cl Ca'!D58,IF($S$1="NOVOgen WHITE Light Cages",'Standard NW Li Ca'!D58,"")))))</f>
        <v/>
      </c>
      <c r="E58" s="18" t="str">
        <f>IF($S$1="NOVOgen WHITE Alternatif",'Standard NW Cl Alt'!E58,(IF($S$1="NOVOgen WHITE Light Alternatif",'Standard NW Li Alt'!E58,IF($S$1="NOVOgen WHITE Cages",'Standard NW Cl Ca'!E58,IF($S$1="NOVOgen WHITE Light Cages",'Standard NW Li Ca'!E58,"")))))</f>
        <v/>
      </c>
      <c r="F58" s="17" t="str">
        <f>IF($S$1="NOVOgen WHITE Alternatif",'Standard NW Cl Alt'!F58,(IF($S$1="NOVOgen WHITE Light Alternatif",'Standard NW Li Alt'!F58,IF($S$1="NOVOgen WHITE Cages",'Standard NW Cl Ca'!F58,IF($S$1="NOVOgen WHITE Light Cages",'Standard NW Li Ca'!F58,"")))))</f>
        <v/>
      </c>
      <c r="G58" s="18" t="str">
        <f>IF($S$1="NOVOgen WHITE Alternatif",'Standard NW Cl Alt'!G58,(IF($S$1="NOVOgen WHITE Light Alternatif",'Standard NW Li Alt'!G58,IF($S$1="NOVOgen WHITE Cages",'Standard NW Cl Ca'!G58,IF($S$1="NOVOgen WHITE Light Cages",'Standard NW Li Ca'!G58,"")))))</f>
        <v/>
      </c>
      <c r="H58" s="17" t="str">
        <f>IF($S$1="NOVOgen WHITE Alternatif",'Standard NW Cl Alt'!H58,(IF($S$1="NOVOgen WHITE Light Alternatif",'Standard NW Li Alt'!H58,IF($S$1="NOVOgen WHITE Cages",'Standard NW Cl Ca'!H58,IF($S$1="NOVOgen WHITE Light Cages",'Standard NW Li Ca'!H58,"")))))</f>
        <v/>
      </c>
      <c r="I58" s="17" t="str">
        <f>IF($S$1="NOVOgen WHITE Alternatif",'Standard NW Cl Alt'!I58,(IF($S$1="NOVOgen WHITE Light Alternatif",'Standard NW Li Alt'!I58,IF($S$1="NOVOgen WHITE Cages",'Standard NW Cl Ca'!I58,IF($S$1="NOVOgen WHITE Light Cages",'Standard NW Li Ca'!I58,"")))))</f>
        <v/>
      </c>
      <c r="J58" s="18" t="str">
        <f>IF($S$1="NOVOgen WHITE Alternatif",'Standard NW Cl Alt'!J58,(IF($S$1="NOVOgen WHITE Light Alternatif",'Standard NW Li Alt'!J58,IF($S$1="NOVOgen WHITE Cages",'Standard NW Cl Ca'!J58,IF($S$1="NOVOgen WHITE Light Cages",'Standard NW Li Ca'!J58,"")))))</f>
        <v/>
      </c>
      <c r="K58" s="19" t="str">
        <f>IF($S$1="NOVOgen WHITE Alternatif",'Standard NW Cl Alt'!K58,(IF($S$1="NOVOgen WHITE Light Alternatif",'Standard NW Li Alt'!K58,IF($S$1="NOVOgen WHITE Cages",'Standard NW Cl Ca'!K58,IF($S$1="NOVOgen WHITE Light Cages",'Standard NW Li Ca'!K58,"")))))</f>
        <v/>
      </c>
      <c r="L58" s="17" t="str">
        <f>IF($S$1="NOVOgen WHITE Alternatif",'Standard NW Cl Alt'!L58,(IF($S$1="NOVOgen WHITE Light Alternatif",'Standard NW Li Alt'!L58,IF($S$1="NOVOgen WHITE Cages",'Standard NW Cl Ca'!L58,IF($S$1="NOVOgen WHITE Light Cages",'Standard NW Li Ca'!L58,"")))))</f>
        <v/>
      </c>
    </row>
    <row r="59" spans="1:12" ht="15" customHeight="1" x14ac:dyDescent="0.2">
      <c r="A59" s="10">
        <v>69</v>
      </c>
      <c r="B59" s="13" t="str">
        <f>IF($S$1="NOVOgen WHITE Alternatif",'Standard NW Cl Alt'!B59,(IF($S$1="NOVOgen WHITE Light Alternatif",'Standard NW Li Alt'!B59,IF($S$1="NOVOgen WHITE Cages",'Standard NW Cl Ca'!B59,IF($S$1="NOVOgen WHITE Light Cages",'Standard NW Li Ca'!B59,"")))))</f>
        <v/>
      </c>
      <c r="C59" s="13" t="str">
        <f>IF($S$1="NOVOgen WHITE Alternatif",'Standard NW Cl Alt'!C59,(IF($S$1="NOVOgen WHITE Light Alternatif",'Standard NW Li Alt'!C59,IF($S$1="NOVOgen WHITE Cages",'Standard NW Cl Ca'!C59,IF($S$1="NOVOgen WHITE Light Cages",'Standard NW Li Ca'!C59,"")))))</f>
        <v/>
      </c>
      <c r="D59" s="13" t="str">
        <f>IF($S$1="NOVOgen WHITE Alternatif",'Standard NW Cl Alt'!D59,(IF($S$1="NOVOgen WHITE Light Alternatif",'Standard NW Li Alt'!D59,IF($S$1="NOVOgen WHITE Cages",'Standard NW Cl Ca'!D59,IF($S$1="NOVOgen WHITE Light Cages",'Standard NW Li Ca'!D59,"")))))</f>
        <v/>
      </c>
      <c r="E59" s="14" t="str">
        <f>IF($S$1="NOVOgen WHITE Alternatif",'Standard NW Cl Alt'!E59,(IF($S$1="NOVOgen WHITE Light Alternatif",'Standard NW Li Alt'!E59,IF($S$1="NOVOgen WHITE Cages",'Standard NW Cl Ca'!E59,IF($S$1="NOVOgen WHITE Light Cages",'Standard NW Li Ca'!E59,"")))))</f>
        <v/>
      </c>
      <c r="F59" s="13" t="str">
        <f>IF($S$1="NOVOgen WHITE Alternatif",'Standard NW Cl Alt'!F59,(IF($S$1="NOVOgen WHITE Light Alternatif",'Standard NW Li Alt'!F59,IF($S$1="NOVOgen WHITE Cages",'Standard NW Cl Ca'!F59,IF($S$1="NOVOgen WHITE Light Cages",'Standard NW Li Ca'!F59,"")))))</f>
        <v/>
      </c>
      <c r="G59" s="14" t="str">
        <f>IF($S$1="NOVOgen WHITE Alternatif",'Standard NW Cl Alt'!G59,(IF($S$1="NOVOgen WHITE Light Alternatif",'Standard NW Li Alt'!G59,IF($S$1="NOVOgen WHITE Cages",'Standard NW Cl Ca'!G59,IF($S$1="NOVOgen WHITE Light Cages",'Standard NW Li Ca'!G59,"")))))</f>
        <v/>
      </c>
      <c r="H59" s="13" t="str">
        <f>IF($S$1="NOVOgen WHITE Alternatif",'Standard NW Cl Alt'!H59,(IF($S$1="NOVOgen WHITE Light Alternatif",'Standard NW Li Alt'!H59,IF($S$1="NOVOgen WHITE Cages",'Standard NW Cl Ca'!H59,IF($S$1="NOVOgen WHITE Light Cages",'Standard NW Li Ca'!H59,"")))))</f>
        <v/>
      </c>
      <c r="I59" s="13" t="str">
        <f>IF($S$1="NOVOgen WHITE Alternatif",'Standard NW Cl Alt'!I59,(IF($S$1="NOVOgen WHITE Light Alternatif",'Standard NW Li Alt'!I59,IF($S$1="NOVOgen WHITE Cages",'Standard NW Cl Ca'!I59,IF($S$1="NOVOgen WHITE Light Cages",'Standard NW Li Ca'!I59,"")))))</f>
        <v/>
      </c>
      <c r="J59" s="14" t="str">
        <f>IF($S$1="NOVOgen WHITE Alternatif",'Standard NW Cl Alt'!J59,(IF($S$1="NOVOgen WHITE Light Alternatif",'Standard NW Li Alt'!J59,IF($S$1="NOVOgen WHITE Cages",'Standard NW Cl Ca'!J59,IF($S$1="NOVOgen WHITE Light Cages",'Standard NW Li Ca'!J59,"")))))</f>
        <v/>
      </c>
      <c r="K59" s="15" t="str">
        <f>IF($S$1="NOVOgen WHITE Alternatif",'Standard NW Cl Alt'!K59,(IF($S$1="NOVOgen WHITE Light Alternatif",'Standard NW Li Alt'!K59,IF($S$1="NOVOgen WHITE Cages",'Standard NW Cl Ca'!K59,IF($S$1="NOVOgen WHITE Light Cages",'Standard NW Li Ca'!K59,"")))))</f>
        <v/>
      </c>
      <c r="L59" s="13" t="str">
        <f>IF($S$1="NOVOgen WHITE Alternatif",'Standard NW Cl Alt'!L59,(IF($S$1="NOVOgen WHITE Light Alternatif",'Standard NW Li Alt'!L59,IF($S$1="NOVOgen WHITE Cages",'Standard NW Cl Ca'!L59,IF($S$1="NOVOgen WHITE Light Cages",'Standard NW Li Ca'!L59,"")))))</f>
        <v/>
      </c>
    </row>
    <row r="60" spans="1:12" ht="15" customHeight="1" x14ac:dyDescent="0.2">
      <c r="A60" s="10">
        <v>70</v>
      </c>
      <c r="B60" s="13" t="str">
        <f>IF($S$1="NOVOgen WHITE Alternatif",'Standard NW Cl Alt'!B60,(IF($S$1="NOVOgen WHITE Light Alternatif",'Standard NW Li Alt'!B60,IF($S$1="NOVOgen WHITE Cages",'Standard NW Cl Ca'!B60,IF($S$1="NOVOgen WHITE Light Cages",'Standard NW Li Ca'!B60,"")))))</f>
        <v/>
      </c>
      <c r="C60" s="13" t="str">
        <f>IF($S$1="NOVOgen WHITE Alternatif",'Standard NW Cl Alt'!C60,(IF($S$1="NOVOgen WHITE Light Alternatif",'Standard NW Li Alt'!C60,IF($S$1="NOVOgen WHITE Cages",'Standard NW Cl Ca'!C60,IF($S$1="NOVOgen WHITE Light Cages",'Standard NW Li Ca'!C60,"")))))</f>
        <v/>
      </c>
      <c r="D60" s="13" t="str">
        <f>IF($S$1="NOVOgen WHITE Alternatif",'Standard NW Cl Alt'!D60,(IF($S$1="NOVOgen WHITE Light Alternatif",'Standard NW Li Alt'!D60,IF($S$1="NOVOgen WHITE Cages",'Standard NW Cl Ca'!D60,IF($S$1="NOVOgen WHITE Light Cages",'Standard NW Li Ca'!D60,"")))))</f>
        <v/>
      </c>
      <c r="E60" s="14" t="str">
        <f>IF($S$1="NOVOgen WHITE Alternatif",'Standard NW Cl Alt'!E60,(IF($S$1="NOVOgen WHITE Light Alternatif",'Standard NW Li Alt'!E60,IF($S$1="NOVOgen WHITE Cages",'Standard NW Cl Ca'!E60,IF($S$1="NOVOgen WHITE Light Cages",'Standard NW Li Ca'!E60,"")))))</f>
        <v/>
      </c>
      <c r="F60" s="13" t="str">
        <f>IF($S$1="NOVOgen WHITE Alternatif",'Standard NW Cl Alt'!F60,(IF($S$1="NOVOgen WHITE Light Alternatif",'Standard NW Li Alt'!F60,IF($S$1="NOVOgen WHITE Cages",'Standard NW Cl Ca'!F60,IF($S$1="NOVOgen WHITE Light Cages",'Standard NW Li Ca'!F60,"")))))</f>
        <v/>
      </c>
      <c r="G60" s="14" t="str">
        <f>IF($S$1="NOVOgen WHITE Alternatif",'Standard NW Cl Alt'!G60,(IF($S$1="NOVOgen WHITE Light Alternatif",'Standard NW Li Alt'!G60,IF($S$1="NOVOgen WHITE Cages",'Standard NW Cl Ca'!G60,IF($S$1="NOVOgen WHITE Light Cages",'Standard NW Li Ca'!G60,"")))))</f>
        <v/>
      </c>
      <c r="H60" s="13" t="str">
        <f>IF($S$1="NOVOgen WHITE Alternatif",'Standard NW Cl Alt'!H60,(IF($S$1="NOVOgen WHITE Light Alternatif",'Standard NW Li Alt'!H60,IF($S$1="NOVOgen WHITE Cages",'Standard NW Cl Ca'!H60,IF($S$1="NOVOgen WHITE Light Cages",'Standard NW Li Ca'!H60,"")))))</f>
        <v/>
      </c>
      <c r="I60" s="13" t="str">
        <f>IF($S$1="NOVOgen WHITE Alternatif",'Standard NW Cl Alt'!I60,(IF($S$1="NOVOgen WHITE Light Alternatif",'Standard NW Li Alt'!I60,IF($S$1="NOVOgen WHITE Cages",'Standard NW Cl Ca'!I60,IF($S$1="NOVOgen WHITE Light Cages",'Standard NW Li Ca'!I60,"")))))</f>
        <v/>
      </c>
      <c r="J60" s="14" t="str">
        <f>IF($S$1="NOVOgen WHITE Alternatif",'Standard NW Cl Alt'!J60,(IF($S$1="NOVOgen WHITE Light Alternatif",'Standard NW Li Alt'!J60,IF($S$1="NOVOgen WHITE Cages",'Standard NW Cl Ca'!J60,IF($S$1="NOVOgen WHITE Light Cages",'Standard NW Li Ca'!J60,"")))))</f>
        <v/>
      </c>
      <c r="K60" s="15" t="str">
        <f>IF($S$1="NOVOgen WHITE Alternatif",'Standard NW Cl Alt'!K60,(IF($S$1="NOVOgen WHITE Light Alternatif",'Standard NW Li Alt'!K60,IF($S$1="NOVOgen WHITE Cages",'Standard NW Cl Ca'!K60,IF($S$1="NOVOgen WHITE Light Cages",'Standard NW Li Ca'!K60,"")))))</f>
        <v/>
      </c>
      <c r="L60" s="13" t="str">
        <f>IF($S$1="NOVOgen WHITE Alternatif",'Standard NW Cl Alt'!L60,(IF($S$1="NOVOgen WHITE Light Alternatif",'Standard NW Li Alt'!L60,IF($S$1="NOVOgen WHITE Cages",'Standard NW Cl Ca'!L60,IF($S$1="NOVOgen WHITE Light Cages",'Standard NW Li Ca'!L60,"")))))</f>
        <v/>
      </c>
    </row>
    <row r="61" spans="1:12" ht="15" customHeight="1" x14ac:dyDescent="0.2">
      <c r="A61" s="10">
        <v>71</v>
      </c>
      <c r="B61" s="13" t="str">
        <f>IF($S$1="NOVOgen WHITE Alternatif",'Standard NW Cl Alt'!B61,(IF($S$1="NOVOgen WHITE Light Alternatif",'Standard NW Li Alt'!B61,IF($S$1="NOVOgen WHITE Cages",'Standard NW Cl Ca'!B61,IF($S$1="NOVOgen WHITE Light Cages",'Standard NW Li Ca'!B61,"")))))</f>
        <v/>
      </c>
      <c r="C61" s="13" t="str">
        <f>IF($S$1="NOVOgen WHITE Alternatif",'Standard NW Cl Alt'!C61,(IF($S$1="NOVOgen WHITE Light Alternatif",'Standard NW Li Alt'!C61,IF($S$1="NOVOgen WHITE Cages",'Standard NW Cl Ca'!C61,IF($S$1="NOVOgen WHITE Light Cages",'Standard NW Li Ca'!C61,"")))))</f>
        <v/>
      </c>
      <c r="D61" s="13" t="str">
        <f>IF($S$1="NOVOgen WHITE Alternatif",'Standard NW Cl Alt'!D61,(IF($S$1="NOVOgen WHITE Light Alternatif",'Standard NW Li Alt'!D61,IF($S$1="NOVOgen WHITE Cages",'Standard NW Cl Ca'!D61,IF($S$1="NOVOgen WHITE Light Cages",'Standard NW Li Ca'!D61,"")))))</f>
        <v/>
      </c>
      <c r="E61" s="14" t="str">
        <f>IF($S$1="NOVOgen WHITE Alternatif",'Standard NW Cl Alt'!E61,(IF($S$1="NOVOgen WHITE Light Alternatif",'Standard NW Li Alt'!E61,IF($S$1="NOVOgen WHITE Cages",'Standard NW Cl Ca'!E61,IF($S$1="NOVOgen WHITE Light Cages",'Standard NW Li Ca'!E61,"")))))</f>
        <v/>
      </c>
      <c r="F61" s="13" t="str">
        <f>IF($S$1="NOVOgen WHITE Alternatif",'Standard NW Cl Alt'!F61,(IF($S$1="NOVOgen WHITE Light Alternatif",'Standard NW Li Alt'!F61,IF($S$1="NOVOgen WHITE Cages",'Standard NW Cl Ca'!F61,IF($S$1="NOVOgen WHITE Light Cages",'Standard NW Li Ca'!F61,"")))))</f>
        <v/>
      </c>
      <c r="G61" s="14" t="str">
        <f>IF($S$1="NOVOgen WHITE Alternatif",'Standard NW Cl Alt'!G61,(IF($S$1="NOVOgen WHITE Light Alternatif",'Standard NW Li Alt'!G61,IF($S$1="NOVOgen WHITE Cages",'Standard NW Cl Ca'!G61,IF($S$1="NOVOgen WHITE Light Cages",'Standard NW Li Ca'!G61,"")))))</f>
        <v/>
      </c>
      <c r="H61" s="13" t="str">
        <f>IF($S$1="NOVOgen WHITE Alternatif",'Standard NW Cl Alt'!H61,(IF($S$1="NOVOgen WHITE Light Alternatif",'Standard NW Li Alt'!H61,IF($S$1="NOVOgen WHITE Cages",'Standard NW Cl Ca'!H61,IF($S$1="NOVOgen WHITE Light Cages",'Standard NW Li Ca'!H61,"")))))</f>
        <v/>
      </c>
      <c r="I61" s="13" t="str">
        <f>IF($S$1="NOVOgen WHITE Alternatif",'Standard NW Cl Alt'!I61,(IF($S$1="NOVOgen WHITE Light Alternatif",'Standard NW Li Alt'!I61,IF($S$1="NOVOgen WHITE Cages",'Standard NW Cl Ca'!I61,IF($S$1="NOVOgen WHITE Light Cages",'Standard NW Li Ca'!I61,"")))))</f>
        <v/>
      </c>
      <c r="J61" s="14" t="str">
        <f>IF($S$1="NOVOgen WHITE Alternatif",'Standard NW Cl Alt'!J61,(IF($S$1="NOVOgen WHITE Light Alternatif",'Standard NW Li Alt'!J61,IF($S$1="NOVOgen WHITE Cages",'Standard NW Cl Ca'!J61,IF($S$1="NOVOgen WHITE Light Cages",'Standard NW Li Ca'!J61,"")))))</f>
        <v/>
      </c>
      <c r="K61" s="15" t="str">
        <f>IF($S$1="NOVOgen WHITE Alternatif",'Standard NW Cl Alt'!K61,(IF($S$1="NOVOgen WHITE Light Alternatif",'Standard NW Li Alt'!K61,IF($S$1="NOVOgen WHITE Cages",'Standard NW Cl Ca'!K61,IF($S$1="NOVOgen WHITE Light Cages",'Standard NW Li Ca'!K61,"")))))</f>
        <v/>
      </c>
      <c r="L61" s="13" t="str">
        <f>IF($S$1="NOVOgen WHITE Alternatif",'Standard NW Cl Alt'!L61,(IF($S$1="NOVOgen WHITE Light Alternatif",'Standard NW Li Alt'!L61,IF($S$1="NOVOgen WHITE Cages",'Standard NW Cl Ca'!L61,IF($S$1="NOVOgen WHITE Light Cages",'Standard NW Li Ca'!L61,"")))))</f>
        <v/>
      </c>
    </row>
    <row r="62" spans="1:12" ht="15" customHeight="1" x14ac:dyDescent="0.2">
      <c r="A62" s="16">
        <v>72</v>
      </c>
      <c r="B62" s="17" t="str">
        <f>IF($S$1="NOVOgen WHITE Alternatif",'Standard NW Cl Alt'!B62,(IF($S$1="NOVOgen WHITE Light Alternatif",'Standard NW Li Alt'!B62,IF($S$1="NOVOgen WHITE Cages",'Standard NW Cl Ca'!B62,IF($S$1="NOVOgen WHITE Light Cages",'Standard NW Li Ca'!B62,"")))))</f>
        <v/>
      </c>
      <c r="C62" s="17" t="str">
        <f>IF($S$1="NOVOgen WHITE Alternatif",'Standard NW Cl Alt'!C62,(IF($S$1="NOVOgen WHITE Light Alternatif",'Standard NW Li Alt'!C62,IF($S$1="NOVOgen WHITE Cages",'Standard NW Cl Ca'!C62,IF($S$1="NOVOgen WHITE Light Cages",'Standard NW Li Ca'!C62,"")))))</f>
        <v/>
      </c>
      <c r="D62" s="17" t="str">
        <f>IF($S$1="NOVOgen WHITE Alternatif",'Standard NW Cl Alt'!D62,(IF($S$1="NOVOgen WHITE Light Alternatif",'Standard NW Li Alt'!D62,IF($S$1="NOVOgen WHITE Cages",'Standard NW Cl Ca'!D62,IF($S$1="NOVOgen WHITE Light Cages",'Standard NW Li Ca'!D62,"")))))</f>
        <v/>
      </c>
      <c r="E62" s="18" t="str">
        <f>IF($S$1="NOVOgen WHITE Alternatif",'Standard NW Cl Alt'!E62,(IF($S$1="NOVOgen WHITE Light Alternatif",'Standard NW Li Alt'!E62,IF($S$1="NOVOgen WHITE Cages",'Standard NW Cl Ca'!E62,IF($S$1="NOVOgen WHITE Light Cages",'Standard NW Li Ca'!E62,"")))))</f>
        <v/>
      </c>
      <c r="F62" s="17" t="str">
        <f>IF($S$1="NOVOgen WHITE Alternatif",'Standard NW Cl Alt'!F62,(IF($S$1="NOVOgen WHITE Light Alternatif",'Standard NW Li Alt'!F62,IF($S$1="NOVOgen WHITE Cages",'Standard NW Cl Ca'!F62,IF($S$1="NOVOgen WHITE Light Cages",'Standard NW Li Ca'!F62,"")))))</f>
        <v/>
      </c>
      <c r="G62" s="18" t="str">
        <f>IF($S$1="NOVOgen WHITE Alternatif",'Standard NW Cl Alt'!G62,(IF($S$1="NOVOgen WHITE Light Alternatif",'Standard NW Li Alt'!G62,IF($S$1="NOVOgen WHITE Cages",'Standard NW Cl Ca'!G62,IF($S$1="NOVOgen WHITE Light Cages",'Standard NW Li Ca'!G62,"")))))</f>
        <v/>
      </c>
      <c r="H62" s="17" t="str">
        <f>IF($S$1="NOVOgen WHITE Alternatif",'Standard NW Cl Alt'!H62,(IF($S$1="NOVOgen WHITE Light Alternatif",'Standard NW Li Alt'!H62,IF($S$1="NOVOgen WHITE Cages",'Standard NW Cl Ca'!H62,IF($S$1="NOVOgen WHITE Light Cages",'Standard NW Li Ca'!H62,"")))))</f>
        <v/>
      </c>
      <c r="I62" s="17" t="str">
        <f>IF($S$1="NOVOgen WHITE Alternatif",'Standard NW Cl Alt'!I62,(IF($S$1="NOVOgen WHITE Light Alternatif",'Standard NW Li Alt'!I62,IF($S$1="NOVOgen WHITE Cages",'Standard NW Cl Ca'!I62,IF($S$1="NOVOgen WHITE Light Cages",'Standard NW Li Ca'!I62,"")))))</f>
        <v/>
      </c>
      <c r="J62" s="18" t="str">
        <f>IF($S$1="NOVOgen WHITE Alternatif",'Standard NW Cl Alt'!J62,(IF($S$1="NOVOgen WHITE Light Alternatif",'Standard NW Li Alt'!J62,IF($S$1="NOVOgen WHITE Cages",'Standard NW Cl Ca'!J62,IF($S$1="NOVOgen WHITE Light Cages",'Standard NW Li Ca'!J62,"")))))</f>
        <v/>
      </c>
      <c r="K62" s="19" t="str">
        <f>IF($S$1="NOVOgen WHITE Alternatif",'Standard NW Cl Alt'!K62,(IF($S$1="NOVOgen WHITE Light Alternatif",'Standard NW Li Alt'!K62,IF($S$1="NOVOgen WHITE Cages",'Standard NW Cl Ca'!K62,IF($S$1="NOVOgen WHITE Light Cages",'Standard NW Li Ca'!K62,"")))))</f>
        <v/>
      </c>
      <c r="L62" s="17" t="str">
        <f>IF($S$1="NOVOgen WHITE Alternatif",'Standard NW Cl Alt'!L62,(IF($S$1="NOVOgen WHITE Light Alternatif",'Standard NW Li Alt'!L62,IF($S$1="NOVOgen WHITE Cages",'Standard NW Cl Ca'!L62,IF($S$1="NOVOgen WHITE Light Cages",'Standard NW Li Ca'!L62,"")))))</f>
        <v/>
      </c>
    </row>
    <row r="63" spans="1:12" ht="15" customHeight="1" x14ac:dyDescent="0.2">
      <c r="A63" s="10">
        <v>73</v>
      </c>
      <c r="B63" s="13" t="str">
        <f>IF($S$1="NOVOgen WHITE Alternatif",'Standard NW Cl Alt'!B63,(IF($S$1="NOVOgen WHITE Light Alternatif",'Standard NW Li Alt'!B63,IF($S$1="NOVOgen WHITE Cages",'Standard NW Cl Ca'!B63,IF($S$1="NOVOgen WHITE Light Cages",'Standard NW Li Ca'!B63,"")))))</f>
        <v/>
      </c>
      <c r="C63" s="13" t="str">
        <f>IF($S$1="NOVOgen WHITE Alternatif",'Standard NW Cl Alt'!C63,(IF($S$1="NOVOgen WHITE Light Alternatif",'Standard NW Li Alt'!C63,IF($S$1="NOVOgen WHITE Cages",'Standard NW Cl Ca'!C63,IF($S$1="NOVOgen WHITE Light Cages",'Standard NW Li Ca'!C63,"")))))</f>
        <v/>
      </c>
      <c r="D63" s="13" t="str">
        <f>IF($S$1="NOVOgen WHITE Alternatif",'Standard NW Cl Alt'!D63,(IF($S$1="NOVOgen WHITE Light Alternatif",'Standard NW Li Alt'!D63,IF($S$1="NOVOgen WHITE Cages",'Standard NW Cl Ca'!D63,IF($S$1="NOVOgen WHITE Light Cages",'Standard NW Li Ca'!D63,"")))))</f>
        <v/>
      </c>
      <c r="E63" s="14" t="str">
        <f>IF($S$1="NOVOgen WHITE Alternatif",'Standard NW Cl Alt'!E63,(IF($S$1="NOVOgen WHITE Light Alternatif",'Standard NW Li Alt'!E63,IF($S$1="NOVOgen WHITE Cages",'Standard NW Cl Ca'!E63,IF($S$1="NOVOgen WHITE Light Cages",'Standard NW Li Ca'!E63,"")))))</f>
        <v/>
      </c>
      <c r="F63" s="13" t="str">
        <f>IF($S$1="NOVOgen WHITE Alternatif",'Standard NW Cl Alt'!F63,(IF($S$1="NOVOgen WHITE Light Alternatif",'Standard NW Li Alt'!F63,IF($S$1="NOVOgen WHITE Cages",'Standard NW Cl Ca'!F63,IF($S$1="NOVOgen WHITE Light Cages",'Standard NW Li Ca'!F63,"")))))</f>
        <v/>
      </c>
      <c r="G63" s="14" t="str">
        <f>IF($S$1="NOVOgen WHITE Alternatif",'Standard NW Cl Alt'!G63,(IF($S$1="NOVOgen WHITE Light Alternatif",'Standard NW Li Alt'!G63,IF($S$1="NOVOgen WHITE Cages",'Standard NW Cl Ca'!G63,IF($S$1="NOVOgen WHITE Light Cages",'Standard NW Li Ca'!G63,"")))))</f>
        <v/>
      </c>
      <c r="H63" s="13" t="str">
        <f>IF($S$1="NOVOgen WHITE Alternatif",'Standard NW Cl Alt'!H63,(IF($S$1="NOVOgen WHITE Light Alternatif",'Standard NW Li Alt'!H63,IF($S$1="NOVOgen WHITE Cages",'Standard NW Cl Ca'!H63,IF($S$1="NOVOgen WHITE Light Cages",'Standard NW Li Ca'!H63,"")))))</f>
        <v/>
      </c>
      <c r="I63" s="13" t="str">
        <f>IF($S$1="NOVOgen WHITE Alternatif",'Standard NW Cl Alt'!I63,(IF($S$1="NOVOgen WHITE Light Alternatif",'Standard NW Li Alt'!I63,IF($S$1="NOVOgen WHITE Cages",'Standard NW Cl Ca'!I63,IF($S$1="NOVOgen WHITE Light Cages",'Standard NW Li Ca'!I63,"")))))</f>
        <v/>
      </c>
      <c r="J63" s="14" t="str">
        <f>IF($S$1="NOVOgen WHITE Alternatif",'Standard NW Cl Alt'!J63,(IF($S$1="NOVOgen WHITE Light Alternatif",'Standard NW Li Alt'!J63,IF($S$1="NOVOgen WHITE Cages",'Standard NW Cl Ca'!J63,IF($S$1="NOVOgen WHITE Light Cages",'Standard NW Li Ca'!J63,"")))))</f>
        <v/>
      </c>
      <c r="K63" s="15" t="str">
        <f>IF($S$1="NOVOgen WHITE Alternatif",'Standard NW Cl Alt'!K63,(IF($S$1="NOVOgen WHITE Light Alternatif",'Standard NW Li Alt'!K63,IF($S$1="NOVOgen WHITE Cages",'Standard NW Cl Ca'!K63,IF($S$1="NOVOgen WHITE Light Cages",'Standard NW Li Ca'!K63,"")))))</f>
        <v/>
      </c>
      <c r="L63" s="13" t="str">
        <f>IF($S$1="NOVOgen WHITE Alternatif",'Standard NW Cl Alt'!L63,(IF($S$1="NOVOgen WHITE Light Alternatif",'Standard NW Li Alt'!L63,IF($S$1="NOVOgen WHITE Cages",'Standard NW Cl Ca'!L63,IF($S$1="NOVOgen WHITE Light Cages",'Standard NW Li Ca'!L63,"")))))</f>
        <v/>
      </c>
    </row>
    <row r="64" spans="1:12" ht="15" customHeight="1" x14ac:dyDescent="0.2">
      <c r="A64" s="10">
        <v>74</v>
      </c>
      <c r="B64" s="13" t="str">
        <f>IF($S$1="NOVOgen WHITE Alternatif",'Standard NW Cl Alt'!B64,(IF($S$1="NOVOgen WHITE Light Alternatif",'Standard NW Li Alt'!B64,IF($S$1="NOVOgen WHITE Cages",'Standard NW Cl Ca'!B64,IF($S$1="NOVOgen WHITE Light Cages",'Standard NW Li Ca'!B64,"")))))</f>
        <v/>
      </c>
      <c r="C64" s="13" t="str">
        <f>IF($S$1="NOVOgen WHITE Alternatif",'Standard NW Cl Alt'!C64,(IF($S$1="NOVOgen WHITE Light Alternatif",'Standard NW Li Alt'!C64,IF($S$1="NOVOgen WHITE Cages",'Standard NW Cl Ca'!C64,IF($S$1="NOVOgen WHITE Light Cages",'Standard NW Li Ca'!C64,"")))))</f>
        <v/>
      </c>
      <c r="D64" s="13" t="str">
        <f>IF($S$1="NOVOgen WHITE Alternatif",'Standard NW Cl Alt'!D64,(IF($S$1="NOVOgen WHITE Light Alternatif",'Standard NW Li Alt'!D64,IF($S$1="NOVOgen WHITE Cages",'Standard NW Cl Ca'!D64,IF($S$1="NOVOgen WHITE Light Cages",'Standard NW Li Ca'!D64,"")))))</f>
        <v/>
      </c>
      <c r="E64" s="14" t="str">
        <f>IF($S$1="NOVOgen WHITE Alternatif",'Standard NW Cl Alt'!E64,(IF($S$1="NOVOgen WHITE Light Alternatif",'Standard NW Li Alt'!E64,IF($S$1="NOVOgen WHITE Cages",'Standard NW Cl Ca'!E64,IF($S$1="NOVOgen WHITE Light Cages",'Standard NW Li Ca'!E64,"")))))</f>
        <v/>
      </c>
      <c r="F64" s="13" t="str">
        <f>IF($S$1="NOVOgen WHITE Alternatif",'Standard NW Cl Alt'!F64,(IF($S$1="NOVOgen WHITE Light Alternatif",'Standard NW Li Alt'!F64,IF($S$1="NOVOgen WHITE Cages",'Standard NW Cl Ca'!F64,IF($S$1="NOVOgen WHITE Light Cages",'Standard NW Li Ca'!F64,"")))))</f>
        <v/>
      </c>
      <c r="G64" s="14" t="str">
        <f>IF($S$1="NOVOgen WHITE Alternatif",'Standard NW Cl Alt'!G64,(IF($S$1="NOVOgen WHITE Light Alternatif",'Standard NW Li Alt'!G64,IF($S$1="NOVOgen WHITE Cages",'Standard NW Cl Ca'!G64,IF($S$1="NOVOgen WHITE Light Cages",'Standard NW Li Ca'!G64,"")))))</f>
        <v/>
      </c>
      <c r="H64" s="13" t="str">
        <f>IF($S$1="NOVOgen WHITE Alternatif",'Standard NW Cl Alt'!H64,(IF($S$1="NOVOgen WHITE Light Alternatif",'Standard NW Li Alt'!H64,IF($S$1="NOVOgen WHITE Cages",'Standard NW Cl Ca'!H64,IF($S$1="NOVOgen WHITE Light Cages",'Standard NW Li Ca'!H64,"")))))</f>
        <v/>
      </c>
      <c r="I64" s="13" t="str">
        <f>IF($S$1="NOVOgen WHITE Alternatif",'Standard NW Cl Alt'!I64,(IF($S$1="NOVOgen WHITE Light Alternatif",'Standard NW Li Alt'!I64,IF($S$1="NOVOgen WHITE Cages",'Standard NW Cl Ca'!I64,IF($S$1="NOVOgen WHITE Light Cages",'Standard NW Li Ca'!I64,"")))))</f>
        <v/>
      </c>
      <c r="J64" s="14" t="str">
        <f>IF($S$1="NOVOgen WHITE Alternatif",'Standard NW Cl Alt'!J64,(IF($S$1="NOVOgen WHITE Light Alternatif",'Standard NW Li Alt'!J64,IF($S$1="NOVOgen WHITE Cages",'Standard NW Cl Ca'!J64,IF($S$1="NOVOgen WHITE Light Cages",'Standard NW Li Ca'!J64,"")))))</f>
        <v/>
      </c>
      <c r="K64" s="15" t="str">
        <f>IF($S$1="NOVOgen WHITE Alternatif",'Standard NW Cl Alt'!K64,(IF($S$1="NOVOgen WHITE Light Alternatif",'Standard NW Li Alt'!K64,IF($S$1="NOVOgen WHITE Cages",'Standard NW Cl Ca'!K64,IF($S$1="NOVOgen WHITE Light Cages",'Standard NW Li Ca'!K64,"")))))</f>
        <v/>
      </c>
      <c r="L64" s="13" t="str">
        <f>IF($S$1="NOVOgen WHITE Alternatif",'Standard NW Cl Alt'!L64,(IF($S$1="NOVOgen WHITE Light Alternatif",'Standard NW Li Alt'!L64,IF($S$1="NOVOgen WHITE Cages",'Standard NW Cl Ca'!L64,IF($S$1="NOVOgen WHITE Light Cages",'Standard NW Li Ca'!L64,"")))))</f>
        <v/>
      </c>
    </row>
    <row r="65" spans="1:12" ht="15" customHeight="1" x14ac:dyDescent="0.2">
      <c r="A65" s="10">
        <v>75</v>
      </c>
      <c r="B65" s="13" t="str">
        <f>IF($S$1="NOVOgen WHITE Alternatif",'Standard NW Cl Alt'!B65,(IF($S$1="NOVOgen WHITE Light Alternatif",'Standard NW Li Alt'!B65,IF($S$1="NOVOgen WHITE Cages",'Standard NW Cl Ca'!B65,IF($S$1="NOVOgen WHITE Light Cages",'Standard NW Li Ca'!B65,"")))))</f>
        <v/>
      </c>
      <c r="C65" s="13" t="str">
        <f>IF($S$1="NOVOgen WHITE Alternatif",'Standard NW Cl Alt'!C65,(IF($S$1="NOVOgen WHITE Light Alternatif",'Standard NW Li Alt'!C65,IF($S$1="NOVOgen WHITE Cages",'Standard NW Cl Ca'!C65,IF($S$1="NOVOgen WHITE Light Cages",'Standard NW Li Ca'!C65,"")))))</f>
        <v/>
      </c>
      <c r="D65" s="13" t="str">
        <f>IF($S$1="NOVOgen WHITE Alternatif",'Standard NW Cl Alt'!D65,(IF($S$1="NOVOgen WHITE Light Alternatif",'Standard NW Li Alt'!D65,IF($S$1="NOVOgen WHITE Cages",'Standard NW Cl Ca'!D65,IF($S$1="NOVOgen WHITE Light Cages",'Standard NW Li Ca'!D65,"")))))</f>
        <v/>
      </c>
      <c r="E65" s="14" t="str">
        <f>IF($S$1="NOVOgen WHITE Alternatif",'Standard NW Cl Alt'!E65,(IF($S$1="NOVOgen WHITE Light Alternatif",'Standard NW Li Alt'!E65,IF($S$1="NOVOgen WHITE Cages",'Standard NW Cl Ca'!E65,IF($S$1="NOVOgen WHITE Light Cages",'Standard NW Li Ca'!E65,"")))))</f>
        <v/>
      </c>
      <c r="F65" s="13" t="str">
        <f>IF($S$1="NOVOgen WHITE Alternatif",'Standard NW Cl Alt'!F65,(IF($S$1="NOVOgen WHITE Light Alternatif",'Standard NW Li Alt'!F65,IF($S$1="NOVOgen WHITE Cages",'Standard NW Cl Ca'!F65,IF($S$1="NOVOgen WHITE Light Cages",'Standard NW Li Ca'!F65,"")))))</f>
        <v/>
      </c>
      <c r="G65" s="14" t="str">
        <f>IF($S$1="NOVOgen WHITE Alternatif",'Standard NW Cl Alt'!G65,(IF($S$1="NOVOgen WHITE Light Alternatif",'Standard NW Li Alt'!G65,IF($S$1="NOVOgen WHITE Cages",'Standard NW Cl Ca'!G65,IF($S$1="NOVOgen WHITE Light Cages",'Standard NW Li Ca'!G65,"")))))</f>
        <v/>
      </c>
      <c r="H65" s="13" t="str">
        <f>IF($S$1="NOVOgen WHITE Alternatif",'Standard NW Cl Alt'!H65,(IF($S$1="NOVOgen WHITE Light Alternatif",'Standard NW Li Alt'!H65,IF($S$1="NOVOgen WHITE Cages",'Standard NW Cl Ca'!H65,IF($S$1="NOVOgen WHITE Light Cages",'Standard NW Li Ca'!H65,"")))))</f>
        <v/>
      </c>
      <c r="I65" s="13" t="str">
        <f>IF($S$1="NOVOgen WHITE Alternatif",'Standard NW Cl Alt'!I65,(IF($S$1="NOVOgen WHITE Light Alternatif",'Standard NW Li Alt'!I65,IF($S$1="NOVOgen WHITE Cages",'Standard NW Cl Ca'!I65,IF($S$1="NOVOgen WHITE Light Cages",'Standard NW Li Ca'!I65,"")))))</f>
        <v/>
      </c>
      <c r="J65" s="14" t="str">
        <f>IF($S$1="NOVOgen WHITE Alternatif",'Standard NW Cl Alt'!J65,(IF($S$1="NOVOgen WHITE Light Alternatif",'Standard NW Li Alt'!J65,IF($S$1="NOVOgen WHITE Cages",'Standard NW Cl Ca'!J65,IF($S$1="NOVOgen WHITE Light Cages",'Standard NW Li Ca'!J65,"")))))</f>
        <v/>
      </c>
      <c r="K65" s="15" t="str">
        <f>IF($S$1="NOVOgen WHITE Alternatif",'Standard NW Cl Alt'!K65,(IF($S$1="NOVOgen WHITE Light Alternatif",'Standard NW Li Alt'!K65,IF($S$1="NOVOgen WHITE Cages",'Standard NW Cl Ca'!K65,IF($S$1="NOVOgen WHITE Light Cages",'Standard NW Li Ca'!K65,"")))))</f>
        <v/>
      </c>
      <c r="L65" s="13" t="str">
        <f>IF($S$1="NOVOgen WHITE Alternatif",'Standard NW Cl Alt'!L65,(IF($S$1="NOVOgen WHITE Light Alternatif",'Standard NW Li Alt'!L65,IF($S$1="NOVOgen WHITE Cages",'Standard NW Cl Ca'!L65,IF($S$1="NOVOgen WHITE Light Cages",'Standard NW Li Ca'!L65,"")))))</f>
        <v/>
      </c>
    </row>
    <row r="66" spans="1:12" ht="15" customHeight="1" x14ac:dyDescent="0.2">
      <c r="A66" s="16">
        <v>76</v>
      </c>
      <c r="B66" s="17" t="str">
        <f>IF($S$1="NOVOgen WHITE Alternatif",'Standard NW Cl Alt'!B66,(IF($S$1="NOVOgen WHITE Light Alternatif",'Standard NW Li Alt'!B66,IF($S$1="NOVOgen WHITE Cages",'Standard NW Cl Ca'!B66,IF($S$1="NOVOgen WHITE Light Cages",'Standard NW Li Ca'!B66,"")))))</f>
        <v/>
      </c>
      <c r="C66" s="17" t="str">
        <f>IF($S$1="NOVOgen WHITE Alternatif",'Standard NW Cl Alt'!C66,(IF($S$1="NOVOgen WHITE Light Alternatif",'Standard NW Li Alt'!C66,IF($S$1="NOVOgen WHITE Cages",'Standard NW Cl Ca'!C66,IF($S$1="NOVOgen WHITE Light Cages",'Standard NW Li Ca'!C66,"")))))</f>
        <v/>
      </c>
      <c r="D66" s="17" t="str">
        <f>IF($S$1="NOVOgen WHITE Alternatif",'Standard NW Cl Alt'!D66,(IF($S$1="NOVOgen WHITE Light Alternatif",'Standard NW Li Alt'!D66,IF($S$1="NOVOgen WHITE Cages",'Standard NW Cl Ca'!D66,IF($S$1="NOVOgen WHITE Light Cages",'Standard NW Li Ca'!D66,"")))))</f>
        <v/>
      </c>
      <c r="E66" s="18" t="str">
        <f>IF($S$1="NOVOgen WHITE Alternatif",'Standard NW Cl Alt'!E66,(IF($S$1="NOVOgen WHITE Light Alternatif",'Standard NW Li Alt'!E66,IF($S$1="NOVOgen WHITE Cages",'Standard NW Cl Ca'!E66,IF($S$1="NOVOgen WHITE Light Cages",'Standard NW Li Ca'!E66,"")))))</f>
        <v/>
      </c>
      <c r="F66" s="17" t="str">
        <f>IF($S$1="NOVOgen WHITE Alternatif",'Standard NW Cl Alt'!F66,(IF($S$1="NOVOgen WHITE Light Alternatif",'Standard NW Li Alt'!F66,IF($S$1="NOVOgen WHITE Cages",'Standard NW Cl Ca'!F66,IF($S$1="NOVOgen WHITE Light Cages",'Standard NW Li Ca'!F66,"")))))</f>
        <v/>
      </c>
      <c r="G66" s="18" t="str">
        <f>IF($S$1="NOVOgen WHITE Alternatif",'Standard NW Cl Alt'!G66,(IF($S$1="NOVOgen WHITE Light Alternatif",'Standard NW Li Alt'!G66,IF($S$1="NOVOgen WHITE Cages",'Standard NW Cl Ca'!G66,IF($S$1="NOVOgen WHITE Light Cages",'Standard NW Li Ca'!G66,"")))))</f>
        <v/>
      </c>
      <c r="H66" s="17" t="str">
        <f>IF($S$1="NOVOgen WHITE Alternatif",'Standard NW Cl Alt'!H66,(IF($S$1="NOVOgen WHITE Light Alternatif",'Standard NW Li Alt'!H66,IF($S$1="NOVOgen WHITE Cages",'Standard NW Cl Ca'!H66,IF($S$1="NOVOgen WHITE Light Cages",'Standard NW Li Ca'!H66,"")))))</f>
        <v/>
      </c>
      <c r="I66" s="17" t="str">
        <f>IF($S$1="NOVOgen WHITE Alternatif",'Standard NW Cl Alt'!I66,(IF($S$1="NOVOgen WHITE Light Alternatif",'Standard NW Li Alt'!I66,IF($S$1="NOVOgen WHITE Cages",'Standard NW Cl Ca'!I66,IF($S$1="NOVOgen WHITE Light Cages",'Standard NW Li Ca'!I66,"")))))</f>
        <v/>
      </c>
      <c r="J66" s="18" t="str">
        <f>IF($S$1="NOVOgen WHITE Alternatif",'Standard NW Cl Alt'!J66,(IF($S$1="NOVOgen WHITE Light Alternatif",'Standard NW Li Alt'!J66,IF($S$1="NOVOgen WHITE Cages",'Standard NW Cl Ca'!J66,IF($S$1="NOVOgen WHITE Light Cages",'Standard NW Li Ca'!J66,"")))))</f>
        <v/>
      </c>
      <c r="K66" s="19" t="str">
        <f>IF($S$1="NOVOgen WHITE Alternatif",'Standard NW Cl Alt'!K66,(IF($S$1="NOVOgen WHITE Light Alternatif",'Standard NW Li Alt'!K66,IF($S$1="NOVOgen WHITE Cages",'Standard NW Cl Ca'!K66,IF($S$1="NOVOgen WHITE Light Cages",'Standard NW Li Ca'!K66,"")))))</f>
        <v/>
      </c>
      <c r="L66" s="17" t="str">
        <f>IF($S$1="NOVOgen WHITE Alternatif",'Standard NW Cl Alt'!L66,(IF($S$1="NOVOgen WHITE Light Alternatif",'Standard NW Li Alt'!L66,IF($S$1="NOVOgen WHITE Cages",'Standard NW Cl Ca'!L66,IF($S$1="NOVOgen WHITE Light Cages",'Standard NW Li Ca'!L66,"")))))</f>
        <v/>
      </c>
    </row>
    <row r="67" spans="1:12" ht="15" customHeight="1" x14ac:dyDescent="0.2">
      <c r="A67" s="10">
        <v>77</v>
      </c>
      <c r="B67" s="13" t="str">
        <f>IF($S$1="NOVOgen WHITE Alternatif",'Standard NW Cl Alt'!B67,(IF($S$1="NOVOgen WHITE Light Alternatif",'Standard NW Li Alt'!B67,IF($S$1="NOVOgen WHITE Cages",'Standard NW Cl Ca'!B67,IF($S$1="NOVOgen WHITE Light Cages",'Standard NW Li Ca'!B67,"")))))</f>
        <v/>
      </c>
      <c r="C67" s="13" t="str">
        <f>IF($S$1="NOVOgen WHITE Alternatif",'Standard NW Cl Alt'!C67,(IF($S$1="NOVOgen WHITE Light Alternatif",'Standard NW Li Alt'!C67,IF($S$1="NOVOgen WHITE Cages",'Standard NW Cl Ca'!C67,IF($S$1="NOVOgen WHITE Light Cages",'Standard NW Li Ca'!C67,"")))))</f>
        <v/>
      </c>
      <c r="D67" s="13" t="str">
        <f>IF($S$1="NOVOgen WHITE Alternatif",'Standard NW Cl Alt'!D67,(IF($S$1="NOVOgen WHITE Light Alternatif",'Standard NW Li Alt'!D67,IF($S$1="NOVOgen WHITE Cages",'Standard NW Cl Ca'!D67,IF($S$1="NOVOgen WHITE Light Cages",'Standard NW Li Ca'!D67,"")))))</f>
        <v/>
      </c>
      <c r="E67" s="14" t="str">
        <f>IF($S$1="NOVOgen WHITE Alternatif",'Standard NW Cl Alt'!E67,(IF($S$1="NOVOgen WHITE Light Alternatif",'Standard NW Li Alt'!E67,IF($S$1="NOVOgen WHITE Cages",'Standard NW Cl Ca'!E67,IF($S$1="NOVOgen WHITE Light Cages",'Standard NW Li Ca'!E67,"")))))</f>
        <v/>
      </c>
      <c r="F67" s="13" t="str">
        <f>IF($S$1="NOVOgen WHITE Alternatif",'Standard NW Cl Alt'!F67,(IF($S$1="NOVOgen WHITE Light Alternatif",'Standard NW Li Alt'!F67,IF($S$1="NOVOgen WHITE Cages",'Standard NW Cl Ca'!F67,IF($S$1="NOVOgen WHITE Light Cages",'Standard NW Li Ca'!F67,"")))))</f>
        <v/>
      </c>
      <c r="G67" s="14" t="str">
        <f>IF($S$1="NOVOgen WHITE Alternatif",'Standard NW Cl Alt'!G67,(IF($S$1="NOVOgen WHITE Light Alternatif",'Standard NW Li Alt'!G67,IF($S$1="NOVOgen WHITE Cages",'Standard NW Cl Ca'!G67,IF($S$1="NOVOgen WHITE Light Cages",'Standard NW Li Ca'!G67,"")))))</f>
        <v/>
      </c>
      <c r="H67" s="13" t="str">
        <f>IF($S$1="NOVOgen WHITE Alternatif",'Standard NW Cl Alt'!H67,(IF($S$1="NOVOgen WHITE Light Alternatif",'Standard NW Li Alt'!H67,IF($S$1="NOVOgen WHITE Cages",'Standard NW Cl Ca'!H67,IF($S$1="NOVOgen WHITE Light Cages",'Standard NW Li Ca'!H67,"")))))</f>
        <v/>
      </c>
      <c r="I67" s="13" t="str">
        <f>IF($S$1="NOVOgen WHITE Alternatif",'Standard NW Cl Alt'!I67,(IF($S$1="NOVOgen WHITE Light Alternatif",'Standard NW Li Alt'!I67,IF($S$1="NOVOgen WHITE Cages",'Standard NW Cl Ca'!I67,IF($S$1="NOVOgen WHITE Light Cages",'Standard NW Li Ca'!I67,"")))))</f>
        <v/>
      </c>
      <c r="J67" s="14" t="str">
        <f>IF($S$1="NOVOgen WHITE Alternatif",'Standard NW Cl Alt'!J67,(IF($S$1="NOVOgen WHITE Light Alternatif",'Standard NW Li Alt'!J67,IF($S$1="NOVOgen WHITE Cages",'Standard NW Cl Ca'!J67,IF($S$1="NOVOgen WHITE Light Cages",'Standard NW Li Ca'!J67,"")))))</f>
        <v/>
      </c>
      <c r="K67" s="15" t="str">
        <f>IF($S$1="NOVOgen WHITE Alternatif",'Standard NW Cl Alt'!K67,(IF($S$1="NOVOgen WHITE Light Alternatif",'Standard NW Li Alt'!K67,IF($S$1="NOVOgen WHITE Cages",'Standard NW Cl Ca'!K67,IF($S$1="NOVOgen WHITE Light Cages",'Standard NW Li Ca'!K67,"")))))</f>
        <v/>
      </c>
      <c r="L67" s="13" t="str">
        <f>IF($S$1="NOVOgen WHITE Alternatif",'Standard NW Cl Alt'!L67,(IF($S$1="NOVOgen WHITE Light Alternatif",'Standard NW Li Alt'!L67,IF($S$1="NOVOgen WHITE Cages",'Standard NW Cl Ca'!L67,IF($S$1="NOVOgen WHITE Light Cages",'Standard NW Li Ca'!L67,"")))))</f>
        <v/>
      </c>
    </row>
    <row r="68" spans="1:12" ht="15" customHeight="1" x14ac:dyDescent="0.2">
      <c r="A68" s="10">
        <v>78</v>
      </c>
      <c r="B68" s="13" t="str">
        <f>IF($S$1="NOVOgen WHITE Alternatif",'Standard NW Cl Alt'!B68,(IF($S$1="NOVOgen WHITE Light Alternatif",'Standard NW Li Alt'!B68,IF($S$1="NOVOgen WHITE Cages",'Standard NW Cl Ca'!B68,IF($S$1="NOVOgen WHITE Light Cages",'Standard NW Li Ca'!B68,"")))))</f>
        <v/>
      </c>
      <c r="C68" s="13" t="str">
        <f>IF($S$1="NOVOgen WHITE Alternatif",'Standard NW Cl Alt'!C68,(IF($S$1="NOVOgen WHITE Light Alternatif",'Standard NW Li Alt'!C68,IF($S$1="NOVOgen WHITE Cages",'Standard NW Cl Ca'!C68,IF($S$1="NOVOgen WHITE Light Cages",'Standard NW Li Ca'!C68,"")))))</f>
        <v/>
      </c>
      <c r="D68" s="13" t="str">
        <f>IF($S$1="NOVOgen WHITE Alternatif",'Standard NW Cl Alt'!D68,(IF($S$1="NOVOgen WHITE Light Alternatif",'Standard NW Li Alt'!D68,IF($S$1="NOVOgen WHITE Cages",'Standard NW Cl Ca'!D68,IF($S$1="NOVOgen WHITE Light Cages",'Standard NW Li Ca'!D68,"")))))</f>
        <v/>
      </c>
      <c r="E68" s="14" t="str">
        <f>IF($S$1="NOVOgen WHITE Alternatif",'Standard NW Cl Alt'!E68,(IF($S$1="NOVOgen WHITE Light Alternatif",'Standard NW Li Alt'!E68,IF($S$1="NOVOgen WHITE Cages",'Standard NW Cl Ca'!E68,IF($S$1="NOVOgen WHITE Light Cages",'Standard NW Li Ca'!E68,"")))))</f>
        <v/>
      </c>
      <c r="F68" s="13" t="str">
        <f>IF($S$1="NOVOgen WHITE Alternatif",'Standard NW Cl Alt'!F68,(IF($S$1="NOVOgen WHITE Light Alternatif",'Standard NW Li Alt'!F68,IF($S$1="NOVOgen WHITE Cages",'Standard NW Cl Ca'!F68,IF($S$1="NOVOgen WHITE Light Cages",'Standard NW Li Ca'!F68,"")))))</f>
        <v/>
      </c>
      <c r="G68" s="14" t="str">
        <f>IF($S$1="NOVOgen WHITE Alternatif",'Standard NW Cl Alt'!G68,(IF($S$1="NOVOgen WHITE Light Alternatif",'Standard NW Li Alt'!G68,IF($S$1="NOVOgen WHITE Cages",'Standard NW Cl Ca'!G68,IF($S$1="NOVOgen WHITE Light Cages",'Standard NW Li Ca'!G68,"")))))</f>
        <v/>
      </c>
      <c r="H68" s="13" t="str">
        <f>IF($S$1="NOVOgen WHITE Alternatif",'Standard NW Cl Alt'!H68,(IF($S$1="NOVOgen WHITE Light Alternatif",'Standard NW Li Alt'!H68,IF($S$1="NOVOgen WHITE Cages",'Standard NW Cl Ca'!H68,IF($S$1="NOVOgen WHITE Light Cages",'Standard NW Li Ca'!H68,"")))))</f>
        <v/>
      </c>
      <c r="I68" s="13" t="str">
        <f>IF($S$1="NOVOgen WHITE Alternatif",'Standard NW Cl Alt'!I68,(IF($S$1="NOVOgen WHITE Light Alternatif",'Standard NW Li Alt'!I68,IF($S$1="NOVOgen WHITE Cages",'Standard NW Cl Ca'!I68,IF($S$1="NOVOgen WHITE Light Cages",'Standard NW Li Ca'!I68,"")))))</f>
        <v/>
      </c>
      <c r="J68" s="14" t="str">
        <f>IF($S$1="NOVOgen WHITE Alternatif",'Standard NW Cl Alt'!J68,(IF($S$1="NOVOgen WHITE Light Alternatif",'Standard NW Li Alt'!J68,IF($S$1="NOVOgen WHITE Cages",'Standard NW Cl Ca'!J68,IF($S$1="NOVOgen WHITE Light Cages",'Standard NW Li Ca'!J68,"")))))</f>
        <v/>
      </c>
      <c r="K68" s="15" t="str">
        <f>IF($S$1="NOVOgen WHITE Alternatif",'Standard NW Cl Alt'!K68,(IF($S$1="NOVOgen WHITE Light Alternatif",'Standard NW Li Alt'!K68,IF($S$1="NOVOgen WHITE Cages",'Standard NW Cl Ca'!K68,IF($S$1="NOVOgen WHITE Light Cages",'Standard NW Li Ca'!K68,"")))))</f>
        <v/>
      </c>
      <c r="L68" s="13" t="str">
        <f>IF($S$1="NOVOgen WHITE Alternatif",'Standard NW Cl Alt'!L68,(IF($S$1="NOVOgen WHITE Light Alternatif",'Standard NW Li Alt'!L68,IF($S$1="NOVOgen WHITE Cages",'Standard NW Cl Ca'!L68,IF($S$1="NOVOgen WHITE Light Cages",'Standard NW Li Ca'!L68,"")))))</f>
        <v/>
      </c>
    </row>
    <row r="69" spans="1:12" ht="15" customHeight="1" x14ac:dyDescent="0.2">
      <c r="A69" s="10">
        <v>79</v>
      </c>
      <c r="B69" s="13" t="str">
        <f>IF($S$1="NOVOgen WHITE Alternatif",'Standard NW Cl Alt'!B69,(IF($S$1="NOVOgen WHITE Light Alternatif",'Standard NW Li Alt'!B69,IF($S$1="NOVOgen WHITE Cages",'Standard NW Cl Ca'!B69,IF($S$1="NOVOgen WHITE Light Cages",'Standard NW Li Ca'!B69,"")))))</f>
        <v/>
      </c>
      <c r="C69" s="13" t="str">
        <f>IF($S$1="NOVOgen WHITE Alternatif",'Standard NW Cl Alt'!C69,(IF($S$1="NOVOgen WHITE Light Alternatif",'Standard NW Li Alt'!C69,IF($S$1="NOVOgen WHITE Cages",'Standard NW Cl Ca'!C69,IF($S$1="NOVOgen WHITE Light Cages",'Standard NW Li Ca'!C69,"")))))</f>
        <v/>
      </c>
      <c r="D69" s="13" t="str">
        <f>IF($S$1="NOVOgen WHITE Alternatif",'Standard NW Cl Alt'!D69,(IF($S$1="NOVOgen WHITE Light Alternatif",'Standard NW Li Alt'!D69,IF($S$1="NOVOgen WHITE Cages",'Standard NW Cl Ca'!D69,IF($S$1="NOVOgen WHITE Light Cages",'Standard NW Li Ca'!D69,"")))))</f>
        <v/>
      </c>
      <c r="E69" s="14" t="str">
        <f>IF($S$1="NOVOgen WHITE Alternatif",'Standard NW Cl Alt'!E69,(IF($S$1="NOVOgen WHITE Light Alternatif",'Standard NW Li Alt'!E69,IF($S$1="NOVOgen WHITE Cages",'Standard NW Cl Ca'!E69,IF($S$1="NOVOgen WHITE Light Cages",'Standard NW Li Ca'!E69,"")))))</f>
        <v/>
      </c>
      <c r="F69" s="13" t="str">
        <f>IF($S$1="NOVOgen WHITE Alternatif",'Standard NW Cl Alt'!F69,(IF($S$1="NOVOgen WHITE Light Alternatif",'Standard NW Li Alt'!F69,IF($S$1="NOVOgen WHITE Cages",'Standard NW Cl Ca'!F69,IF($S$1="NOVOgen WHITE Light Cages",'Standard NW Li Ca'!F69,"")))))</f>
        <v/>
      </c>
      <c r="G69" s="14" t="str">
        <f>IF($S$1="NOVOgen WHITE Alternatif",'Standard NW Cl Alt'!G69,(IF($S$1="NOVOgen WHITE Light Alternatif",'Standard NW Li Alt'!G69,IF($S$1="NOVOgen WHITE Cages",'Standard NW Cl Ca'!G69,IF($S$1="NOVOgen WHITE Light Cages",'Standard NW Li Ca'!G69,"")))))</f>
        <v/>
      </c>
      <c r="H69" s="13" t="str">
        <f>IF($S$1="NOVOgen WHITE Alternatif",'Standard NW Cl Alt'!H69,(IF($S$1="NOVOgen WHITE Light Alternatif",'Standard NW Li Alt'!H69,IF($S$1="NOVOgen WHITE Cages",'Standard NW Cl Ca'!H69,IF($S$1="NOVOgen WHITE Light Cages",'Standard NW Li Ca'!H69,"")))))</f>
        <v/>
      </c>
      <c r="I69" s="13" t="str">
        <f>IF($S$1="NOVOgen WHITE Alternatif",'Standard NW Cl Alt'!I69,(IF($S$1="NOVOgen WHITE Light Alternatif",'Standard NW Li Alt'!I69,IF($S$1="NOVOgen WHITE Cages",'Standard NW Cl Ca'!I69,IF($S$1="NOVOgen WHITE Light Cages",'Standard NW Li Ca'!I69,"")))))</f>
        <v/>
      </c>
      <c r="J69" s="14" t="str">
        <f>IF($S$1="NOVOgen WHITE Alternatif",'Standard NW Cl Alt'!J69,(IF($S$1="NOVOgen WHITE Light Alternatif",'Standard NW Li Alt'!J69,IF($S$1="NOVOgen WHITE Cages",'Standard NW Cl Ca'!J69,IF($S$1="NOVOgen WHITE Light Cages",'Standard NW Li Ca'!J69,"")))))</f>
        <v/>
      </c>
      <c r="K69" s="15" t="str">
        <f>IF($S$1="NOVOgen WHITE Alternatif",'Standard NW Cl Alt'!K69,(IF($S$1="NOVOgen WHITE Light Alternatif",'Standard NW Li Alt'!K69,IF($S$1="NOVOgen WHITE Cages",'Standard NW Cl Ca'!K69,IF($S$1="NOVOgen WHITE Light Cages",'Standard NW Li Ca'!K69,"")))))</f>
        <v/>
      </c>
      <c r="L69" s="13" t="str">
        <f>IF($S$1="NOVOgen WHITE Alternatif",'Standard NW Cl Alt'!L69,(IF($S$1="NOVOgen WHITE Light Alternatif",'Standard NW Li Alt'!L69,IF($S$1="NOVOgen WHITE Cages",'Standard NW Cl Ca'!L69,IF($S$1="NOVOgen WHITE Light Cages",'Standard NW Li Ca'!L69,"")))))</f>
        <v/>
      </c>
    </row>
    <row r="70" spans="1:12" ht="15" customHeight="1" x14ac:dyDescent="0.2">
      <c r="A70" s="16">
        <v>80</v>
      </c>
      <c r="B70" s="17" t="str">
        <f>IF($S$1="NOVOgen WHITE Alternatif",'Standard NW Cl Alt'!B70,(IF($S$1="NOVOgen WHITE Light Alternatif",'Standard NW Li Alt'!B70,IF($S$1="NOVOgen WHITE Cages",'Standard NW Cl Ca'!B70,IF($S$1="NOVOgen WHITE Light Cages",'Standard NW Li Ca'!B70,"")))))</f>
        <v/>
      </c>
      <c r="C70" s="17" t="str">
        <f>IF($S$1="NOVOgen WHITE Alternatif",'Standard NW Cl Alt'!C70,(IF($S$1="NOVOgen WHITE Light Alternatif",'Standard NW Li Alt'!C70,IF($S$1="NOVOgen WHITE Cages",'Standard NW Cl Ca'!C70,IF($S$1="NOVOgen WHITE Light Cages",'Standard NW Li Ca'!C70,"")))))</f>
        <v/>
      </c>
      <c r="D70" s="17" t="str">
        <f>IF($S$1="NOVOgen WHITE Alternatif",'Standard NW Cl Alt'!D70,(IF($S$1="NOVOgen WHITE Light Alternatif",'Standard NW Li Alt'!D70,IF($S$1="NOVOgen WHITE Cages",'Standard NW Cl Ca'!D70,IF($S$1="NOVOgen WHITE Light Cages",'Standard NW Li Ca'!D70,"")))))</f>
        <v/>
      </c>
      <c r="E70" s="18" t="str">
        <f>IF($S$1="NOVOgen WHITE Alternatif",'Standard NW Cl Alt'!E70,(IF($S$1="NOVOgen WHITE Light Alternatif",'Standard NW Li Alt'!E70,IF($S$1="NOVOgen WHITE Cages",'Standard NW Cl Ca'!E70,IF($S$1="NOVOgen WHITE Light Cages",'Standard NW Li Ca'!E70,"")))))</f>
        <v/>
      </c>
      <c r="F70" s="17" t="str">
        <f>IF($S$1="NOVOgen WHITE Alternatif",'Standard NW Cl Alt'!F70,(IF($S$1="NOVOgen WHITE Light Alternatif",'Standard NW Li Alt'!F70,IF($S$1="NOVOgen WHITE Cages",'Standard NW Cl Ca'!F70,IF($S$1="NOVOgen WHITE Light Cages",'Standard NW Li Ca'!F70,"")))))</f>
        <v/>
      </c>
      <c r="G70" s="18" t="str">
        <f>IF($S$1="NOVOgen WHITE Alternatif",'Standard NW Cl Alt'!G70,(IF($S$1="NOVOgen WHITE Light Alternatif",'Standard NW Li Alt'!G70,IF($S$1="NOVOgen WHITE Cages",'Standard NW Cl Ca'!G70,IF($S$1="NOVOgen WHITE Light Cages",'Standard NW Li Ca'!G70,"")))))</f>
        <v/>
      </c>
      <c r="H70" s="17" t="str">
        <f>IF($S$1="NOVOgen WHITE Alternatif",'Standard NW Cl Alt'!H70,(IF($S$1="NOVOgen WHITE Light Alternatif",'Standard NW Li Alt'!H70,IF($S$1="NOVOgen WHITE Cages",'Standard NW Cl Ca'!H70,IF($S$1="NOVOgen WHITE Light Cages",'Standard NW Li Ca'!H70,"")))))</f>
        <v/>
      </c>
      <c r="I70" s="17" t="str">
        <f>IF($S$1="NOVOgen WHITE Alternatif",'Standard NW Cl Alt'!I70,(IF($S$1="NOVOgen WHITE Light Alternatif",'Standard NW Li Alt'!I70,IF($S$1="NOVOgen WHITE Cages",'Standard NW Cl Ca'!I70,IF($S$1="NOVOgen WHITE Light Cages",'Standard NW Li Ca'!I70,"")))))</f>
        <v/>
      </c>
      <c r="J70" s="18" t="str">
        <f>IF($S$1="NOVOgen WHITE Alternatif",'Standard NW Cl Alt'!J70,(IF($S$1="NOVOgen WHITE Light Alternatif",'Standard NW Li Alt'!J70,IF($S$1="NOVOgen WHITE Cages",'Standard NW Cl Ca'!J70,IF($S$1="NOVOgen WHITE Light Cages",'Standard NW Li Ca'!J70,"")))))</f>
        <v/>
      </c>
      <c r="K70" s="19" t="str">
        <f>IF($S$1="NOVOgen WHITE Alternatif",'Standard NW Cl Alt'!K70,(IF($S$1="NOVOgen WHITE Light Alternatif",'Standard NW Li Alt'!K70,IF($S$1="NOVOgen WHITE Cages",'Standard NW Cl Ca'!K70,IF($S$1="NOVOgen WHITE Light Cages",'Standard NW Li Ca'!K70,"")))))</f>
        <v/>
      </c>
      <c r="L70" s="17" t="str">
        <f>IF($S$1="NOVOgen WHITE Alternatif",'Standard NW Cl Alt'!L70,(IF($S$1="NOVOgen WHITE Light Alternatif",'Standard NW Li Alt'!L70,IF($S$1="NOVOgen WHITE Cages",'Standard NW Cl Ca'!L70,IF($S$1="NOVOgen WHITE Light Cages",'Standard NW Li Ca'!L70,"")))))</f>
        <v/>
      </c>
    </row>
    <row r="71" spans="1:12" ht="15" customHeight="1" x14ac:dyDescent="0.2">
      <c r="A71" s="10">
        <v>81</v>
      </c>
      <c r="B71" s="13" t="str">
        <f>IF($S$1="NOVOgen WHITE Alternatif",'Standard NW Cl Alt'!B71,(IF($S$1="NOVOgen WHITE Light Alternatif",'Standard NW Li Alt'!B71,IF($S$1="NOVOgen WHITE Cages",'Standard NW Cl Ca'!B71,IF($S$1="NOVOgen WHITE Light Cages",'Standard NW Li Ca'!B71,"")))))</f>
        <v/>
      </c>
      <c r="C71" s="13" t="str">
        <f>IF($S$1="NOVOgen WHITE Alternatif",'Standard NW Cl Alt'!C71,(IF($S$1="NOVOgen WHITE Light Alternatif",'Standard NW Li Alt'!C71,IF($S$1="NOVOgen WHITE Cages",'Standard NW Cl Ca'!C71,IF($S$1="NOVOgen WHITE Light Cages",'Standard NW Li Ca'!C71,"")))))</f>
        <v/>
      </c>
      <c r="D71" s="13" t="str">
        <f>IF($S$1="NOVOgen WHITE Alternatif",'Standard NW Cl Alt'!D71,(IF($S$1="NOVOgen WHITE Light Alternatif",'Standard NW Li Alt'!D71,IF($S$1="NOVOgen WHITE Cages",'Standard NW Cl Ca'!D71,IF($S$1="NOVOgen WHITE Light Cages",'Standard NW Li Ca'!D71,"")))))</f>
        <v/>
      </c>
      <c r="E71" s="14" t="str">
        <f>IF($S$1="NOVOgen WHITE Alternatif",'Standard NW Cl Alt'!E71,(IF($S$1="NOVOgen WHITE Light Alternatif",'Standard NW Li Alt'!E71,IF($S$1="NOVOgen WHITE Cages",'Standard NW Cl Ca'!E71,IF($S$1="NOVOgen WHITE Light Cages",'Standard NW Li Ca'!E71,"")))))</f>
        <v/>
      </c>
      <c r="F71" s="13" t="str">
        <f>IF($S$1="NOVOgen WHITE Alternatif",'Standard NW Cl Alt'!F71,(IF($S$1="NOVOgen WHITE Light Alternatif",'Standard NW Li Alt'!F71,IF($S$1="NOVOgen WHITE Cages",'Standard NW Cl Ca'!F71,IF($S$1="NOVOgen WHITE Light Cages",'Standard NW Li Ca'!F71,"")))))</f>
        <v/>
      </c>
      <c r="G71" s="14" t="str">
        <f>IF($S$1="NOVOgen WHITE Alternatif",'Standard NW Cl Alt'!G71,(IF($S$1="NOVOgen WHITE Light Alternatif",'Standard NW Li Alt'!G71,IF($S$1="NOVOgen WHITE Cages",'Standard NW Cl Ca'!G71,IF($S$1="NOVOgen WHITE Light Cages",'Standard NW Li Ca'!G71,"")))))</f>
        <v/>
      </c>
      <c r="H71" s="13" t="str">
        <f>IF($S$1="NOVOgen WHITE Alternatif",'Standard NW Cl Alt'!H71,(IF($S$1="NOVOgen WHITE Light Alternatif",'Standard NW Li Alt'!H71,IF($S$1="NOVOgen WHITE Cages",'Standard NW Cl Ca'!H71,IF($S$1="NOVOgen WHITE Light Cages",'Standard NW Li Ca'!H71,"")))))</f>
        <v/>
      </c>
      <c r="I71" s="13" t="str">
        <f>IF($S$1="NOVOgen WHITE Alternatif",'Standard NW Cl Alt'!I71,(IF($S$1="NOVOgen WHITE Light Alternatif",'Standard NW Li Alt'!I71,IF($S$1="NOVOgen WHITE Cages",'Standard NW Cl Ca'!I71,IF($S$1="NOVOgen WHITE Light Cages",'Standard NW Li Ca'!I71,"")))))</f>
        <v/>
      </c>
      <c r="J71" s="14" t="str">
        <f>IF($S$1="NOVOgen WHITE Alternatif",'Standard NW Cl Alt'!J71,(IF($S$1="NOVOgen WHITE Light Alternatif",'Standard NW Li Alt'!J71,IF($S$1="NOVOgen WHITE Cages",'Standard NW Cl Ca'!J71,IF($S$1="NOVOgen WHITE Light Cages",'Standard NW Li Ca'!J71,"")))))</f>
        <v/>
      </c>
      <c r="K71" s="15" t="str">
        <f>IF($S$1="NOVOgen WHITE Alternatif",'Standard NW Cl Alt'!K71,(IF($S$1="NOVOgen WHITE Light Alternatif",'Standard NW Li Alt'!K71,IF($S$1="NOVOgen WHITE Cages",'Standard NW Cl Ca'!K71,IF($S$1="NOVOgen WHITE Light Cages",'Standard NW Li Ca'!K71,"")))))</f>
        <v/>
      </c>
      <c r="L71" s="13" t="str">
        <f>IF($S$1="NOVOgen WHITE Alternatif",'Standard NW Cl Alt'!L71,(IF($S$1="NOVOgen WHITE Light Alternatif",'Standard NW Li Alt'!L71,IF($S$1="NOVOgen WHITE Cages",'Standard NW Cl Ca'!L71,IF($S$1="NOVOgen WHITE Light Cages",'Standard NW Li Ca'!L71,"")))))</f>
        <v/>
      </c>
    </row>
    <row r="72" spans="1:12" ht="15" customHeight="1" x14ac:dyDescent="0.2">
      <c r="A72" s="10">
        <v>82</v>
      </c>
      <c r="B72" s="13" t="str">
        <f>IF($S$1="NOVOgen WHITE Alternatif",'Standard NW Cl Alt'!B72,(IF($S$1="NOVOgen WHITE Light Alternatif",'Standard NW Li Alt'!B72,IF($S$1="NOVOgen WHITE Cages",'Standard NW Cl Ca'!B72,IF($S$1="NOVOgen WHITE Light Cages",'Standard NW Li Ca'!B72,"")))))</f>
        <v/>
      </c>
      <c r="C72" s="13" t="str">
        <f>IF($S$1="NOVOgen WHITE Alternatif",'Standard NW Cl Alt'!C72,(IF($S$1="NOVOgen WHITE Light Alternatif",'Standard NW Li Alt'!C72,IF($S$1="NOVOgen WHITE Cages",'Standard NW Cl Ca'!C72,IF($S$1="NOVOgen WHITE Light Cages",'Standard NW Li Ca'!C72,"")))))</f>
        <v/>
      </c>
      <c r="D72" s="13" t="str">
        <f>IF($S$1="NOVOgen WHITE Alternatif",'Standard NW Cl Alt'!D72,(IF($S$1="NOVOgen WHITE Light Alternatif",'Standard NW Li Alt'!D72,IF($S$1="NOVOgen WHITE Cages",'Standard NW Cl Ca'!D72,IF($S$1="NOVOgen WHITE Light Cages",'Standard NW Li Ca'!D72,"")))))</f>
        <v/>
      </c>
      <c r="E72" s="14" t="str">
        <f>IF($S$1="NOVOgen WHITE Alternatif",'Standard NW Cl Alt'!E72,(IF($S$1="NOVOgen WHITE Light Alternatif",'Standard NW Li Alt'!E72,IF($S$1="NOVOgen WHITE Cages",'Standard NW Cl Ca'!E72,IF($S$1="NOVOgen WHITE Light Cages",'Standard NW Li Ca'!E72,"")))))</f>
        <v/>
      </c>
      <c r="F72" s="13" t="str">
        <f>IF($S$1="NOVOgen WHITE Alternatif",'Standard NW Cl Alt'!F72,(IF($S$1="NOVOgen WHITE Light Alternatif",'Standard NW Li Alt'!F72,IF($S$1="NOVOgen WHITE Cages",'Standard NW Cl Ca'!F72,IF($S$1="NOVOgen WHITE Light Cages",'Standard NW Li Ca'!F72,"")))))</f>
        <v/>
      </c>
      <c r="G72" s="14" t="str">
        <f>IF($S$1="NOVOgen WHITE Alternatif",'Standard NW Cl Alt'!G72,(IF($S$1="NOVOgen WHITE Light Alternatif",'Standard NW Li Alt'!G72,IF($S$1="NOVOgen WHITE Cages",'Standard NW Cl Ca'!G72,IF($S$1="NOVOgen WHITE Light Cages",'Standard NW Li Ca'!G72,"")))))</f>
        <v/>
      </c>
      <c r="H72" s="13" t="str">
        <f>IF($S$1="NOVOgen WHITE Alternatif",'Standard NW Cl Alt'!H72,(IF($S$1="NOVOgen WHITE Light Alternatif",'Standard NW Li Alt'!H72,IF($S$1="NOVOgen WHITE Cages",'Standard NW Cl Ca'!H72,IF($S$1="NOVOgen WHITE Light Cages",'Standard NW Li Ca'!H72,"")))))</f>
        <v/>
      </c>
      <c r="I72" s="13" t="str">
        <f>IF($S$1="NOVOgen WHITE Alternatif",'Standard NW Cl Alt'!I72,(IF($S$1="NOVOgen WHITE Light Alternatif",'Standard NW Li Alt'!I72,IF($S$1="NOVOgen WHITE Cages",'Standard NW Cl Ca'!I72,IF($S$1="NOVOgen WHITE Light Cages",'Standard NW Li Ca'!I72,"")))))</f>
        <v/>
      </c>
      <c r="J72" s="14" t="str">
        <f>IF($S$1="NOVOgen WHITE Alternatif",'Standard NW Cl Alt'!J72,(IF($S$1="NOVOgen WHITE Light Alternatif",'Standard NW Li Alt'!J72,IF($S$1="NOVOgen WHITE Cages",'Standard NW Cl Ca'!J72,IF($S$1="NOVOgen WHITE Light Cages",'Standard NW Li Ca'!J72,"")))))</f>
        <v/>
      </c>
      <c r="K72" s="15" t="str">
        <f>IF($S$1="NOVOgen WHITE Alternatif",'Standard NW Cl Alt'!K72,(IF($S$1="NOVOgen WHITE Light Alternatif",'Standard NW Li Alt'!K72,IF($S$1="NOVOgen WHITE Cages",'Standard NW Cl Ca'!K72,IF($S$1="NOVOgen WHITE Light Cages",'Standard NW Li Ca'!K72,"")))))</f>
        <v/>
      </c>
      <c r="L72" s="13" t="str">
        <f>IF($S$1="NOVOgen WHITE Alternatif",'Standard NW Cl Alt'!L72,(IF($S$1="NOVOgen WHITE Light Alternatif",'Standard NW Li Alt'!L72,IF($S$1="NOVOgen WHITE Cages",'Standard NW Cl Ca'!L72,IF($S$1="NOVOgen WHITE Light Cages",'Standard NW Li Ca'!L72,"")))))</f>
        <v/>
      </c>
    </row>
    <row r="73" spans="1:12" ht="15" customHeight="1" x14ac:dyDescent="0.2">
      <c r="A73" s="10">
        <v>83</v>
      </c>
      <c r="B73" s="13" t="str">
        <f>IF($S$1="NOVOgen WHITE Alternatif",'Standard NW Cl Alt'!B73,(IF($S$1="NOVOgen WHITE Light Alternatif",'Standard NW Li Alt'!B73,IF($S$1="NOVOgen WHITE Cages",'Standard NW Cl Ca'!B73,IF($S$1="NOVOgen WHITE Light Cages",'Standard NW Li Ca'!B73,"")))))</f>
        <v/>
      </c>
      <c r="C73" s="13" t="str">
        <f>IF($S$1="NOVOgen WHITE Alternatif",'Standard NW Cl Alt'!C73,(IF($S$1="NOVOgen WHITE Light Alternatif",'Standard NW Li Alt'!C73,IF($S$1="NOVOgen WHITE Cages",'Standard NW Cl Ca'!C73,IF($S$1="NOVOgen WHITE Light Cages",'Standard NW Li Ca'!C73,"")))))</f>
        <v/>
      </c>
      <c r="D73" s="13" t="str">
        <f>IF($S$1="NOVOgen WHITE Alternatif",'Standard NW Cl Alt'!D73,(IF($S$1="NOVOgen WHITE Light Alternatif",'Standard NW Li Alt'!D73,IF($S$1="NOVOgen WHITE Cages",'Standard NW Cl Ca'!D73,IF($S$1="NOVOgen WHITE Light Cages",'Standard NW Li Ca'!D73,"")))))</f>
        <v/>
      </c>
      <c r="E73" s="14" t="str">
        <f>IF($S$1="NOVOgen WHITE Alternatif",'Standard NW Cl Alt'!E73,(IF($S$1="NOVOgen WHITE Light Alternatif",'Standard NW Li Alt'!E73,IF($S$1="NOVOgen WHITE Cages",'Standard NW Cl Ca'!E73,IF($S$1="NOVOgen WHITE Light Cages",'Standard NW Li Ca'!E73,"")))))</f>
        <v/>
      </c>
      <c r="F73" s="13" t="str">
        <f>IF($S$1="NOVOgen WHITE Alternatif",'Standard NW Cl Alt'!F73,(IF($S$1="NOVOgen WHITE Light Alternatif",'Standard NW Li Alt'!F73,IF($S$1="NOVOgen WHITE Cages",'Standard NW Cl Ca'!F73,IF($S$1="NOVOgen WHITE Light Cages",'Standard NW Li Ca'!F73,"")))))</f>
        <v/>
      </c>
      <c r="G73" s="14" t="str">
        <f>IF($S$1="NOVOgen WHITE Alternatif",'Standard NW Cl Alt'!G73,(IF($S$1="NOVOgen WHITE Light Alternatif",'Standard NW Li Alt'!G73,IF($S$1="NOVOgen WHITE Cages",'Standard NW Cl Ca'!G73,IF($S$1="NOVOgen WHITE Light Cages",'Standard NW Li Ca'!G73,"")))))</f>
        <v/>
      </c>
      <c r="H73" s="13" t="str">
        <f>IF($S$1="NOVOgen WHITE Alternatif",'Standard NW Cl Alt'!H73,(IF($S$1="NOVOgen WHITE Light Alternatif",'Standard NW Li Alt'!H73,IF($S$1="NOVOgen WHITE Cages",'Standard NW Cl Ca'!H73,IF($S$1="NOVOgen WHITE Light Cages",'Standard NW Li Ca'!H73,"")))))</f>
        <v/>
      </c>
      <c r="I73" s="13" t="str">
        <f>IF($S$1="NOVOgen WHITE Alternatif",'Standard NW Cl Alt'!I73,(IF($S$1="NOVOgen WHITE Light Alternatif",'Standard NW Li Alt'!I73,IF($S$1="NOVOgen WHITE Cages",'Standard NW Cl Ca'!I73,IF($S$1="NOVOgen WHITE Light Cages",'Standard NW Li Ca'!I73,"")))))</f>
        <v/>
      </c>
      <c r="J73" s="14" t="str">
        <f>IF($S$1="NOVOgen WHITE Alternatif",'Standard NW Cl Alt'!J73,(IF($S$1="NOVOgen WHITE Light Alternatif",'Standard NW Li Alt'!J73,IF($S$1="NOVOgen WHITE Cages",'Standard NW Cl Ca'!J73,IF($S$1="NOVOgen WHITE Light Cages",'Standard NW Li Ca'!J73,"")))))</f>
        <v/>
      </c>
      <c r="K73" s="15" t="str">
        <f>IF($S$1="NOVOgen WHITE Alternatif",'Standard NW Cl Alt'!K73,(IF($S$1="NOVOgen WHITE Light Alternatif",'Standard NW Li Alt'!K73,IF($S$1="NOVOgen WHITE Cages",'Standard NW Cl Ca'!K73,IF($S$1="NOVOgen WHITE Light Cages",'Standard NW Li Ca'!K73,"")))))</f>
        <v/>
      </c>
      <c r="L73" s="13" t="str">
        <f>IF($S$1="NOVOgen WHITE Alternatif",'Standard NW Cl Alt'!L73,(IF($S$1="NOVOgen WHITE Light Alternatif",'Standard NW Li Alt'!L73,IF($S$1="NOVOgen WHITE Cages",'Standard NW Cl Ca'!L73,IF($S$1="NOVOgen WHITE Light Cages",'Standard NW Li Ca'!L73,"")))))</f>
        <v/>
      </c>
    </row>
    <row r="74" spans="1:12" ht="15" customHeight="1" x14ac:dyDescent="0.2">
      <c r="A74" s="16">
        <v>84</v>
      </c>
      <c r="B74" s="17" t="str">
        <f>IF($S$1="NOVOgen WHITE Alternatif",'Standard NW Cl Alt'!B74,(IF($S$1="NOVOgen WHITE Light Alternatif",'Standard NW Li Alt'!B74,IF($S$1="NOVOgen WHITE Cages",'Standard NW Cl Ca'!B74,IF($S$1="NOVOgen WHITE Light Cages",'Standard NW Li Ca'!B74,"")))))</f>
        <v/>
      </c>
      <c r="C74" s="17" t="str">
        <f>IF($S$1="NOVOgen WHITE Alternatif",'Standard NW Cl Alt'!C74,(IF($S$1="NOVOgen WHITE Light Alternatif",'Standard NW Li Alt'!C74,IF($S$1="NOVOgen WHITE Cages",'Standard NW Cl Ca'!C74,IF($S$1="NOVOgen WHITE Light Cages",'Standard NW Li Ca'!C74,"")))))</f>
        <v/>
      </c>
      <c r="D74" s="17" t="str">
        <f>IF($S$1="NOVOgen WHITE Alternatif",'Standard NW Cl Alt'!D74,(IF($S$1="NOVOgen WHITE Light Alternatif",'Standard NW Li Alt'!D74,IF($S$1="NOVOgen WHITE Cages",'Standard NW Cl Ca'!D74,IF($S$1="NOVOgen WHITE Light Cages",'Standard NW Li Ca'!D74,"")))))</f>
        <v/>
      </c>
      <c r="E74" s="18" t="str">
        <f>IF($S$1="NOVOgen WHITE Alternatif",'Standard NW Cl Alt'!E74,(IF($S$1="NOVOgen WHITE Light Alternatif",'Standard NW Li Alt'!E74,IF($S$1="NOVOgen WHITE Cages",'Standard NW Cl Ca'!E74,IF($S$1="NOVOgen WHITE Light Cages",'Standard NW Li Ca'!E74,"")))))</f>
        <v/>
      </c>
      <c r="F74" s="17" t="str">
        <f>IF($S$1="NOVOgen WHITE Alternatif",'Standard NW Cl Alt'!F74,(IF($S$1="NOVOgen WHITE Light Alternatif",'Standard NW Li Alt'!F74,IF($S$1="NOVOgen WHITE Cages",'Standard NW Cl Ca'!F74,IF($S$1="NOVOgen WHITE Light Cages",'Standard NW Li Ca'!F74,"")))))</f>
        <v/>
      </c>
      <c r="G74" s="18" t="str">
        <f>IF($S$1="NOVOgen WHITE Alternatif",'Standard NW Cl Alt'!G74,(IF($S$1="NOVOgen WHITE Light Alternatif",'Standard NW Li Alt'!G74,IF($S$1="NOVOgen WHITE Cages",'Standard NW Cl Ca'!G74,IF($S$1="NOVOgen WHITE Light Cages",'Standard NW Li Ca'!G74,"")))))</f>
        <v/>
      </c>
      <c r="H74" s="17" t="str">
        <f>IF($S$1="NOVOgen WHITE Alternatif",'Standard NW Cl Alt'!H74,(IF($S$1="NOVOgen WHITE Light Alternatif",'Standard NW Li Alt'!H74,IF($S$1="NOVOgen WHITE Cages",'Standard NW Cl Ca'!H74,IF($S$1="NOVOgen WHITE Light Cages",'Standard NW Li Ca'!H74,"")))))</f>
        <v/>
      </c>
      <c r="I74" s="17" t="str">
        <f>IF($S$1="NOVOgen WHITE Alternatif",'Standard NW Cl Alt'!I74,(IF($S$1="NOVOgen WHITE Light Alternatif",'Standard NW Li Alt'!I74,IF($S$1="NOVOgen WHITE Cages",'Standard NW Cl Ca'!I74,IF($S$1="NOVOgen WHITE Light Cages",'Standard NW Li Ca'!I74,"")))))</f>
        <v/>
      </c>
      <c r="J74" s="18" t="str">
        <f>IF($S$1="NOVOgen WHITE Alternatif",'Standard NW Cl Alt'!J74,(IF($S$1="NOVOgen WHITE Light Alternatif",'Standard NW Li Alt'!J74,IF($S$1="NOVOgen WHITE Cages",'Standard NW Cl Ca'!J74,IF($S$1="NOVOgen WHITE Light Cages",'Standard NW Li Ca'!J74,"")))))</f>
        <v/>
      </c>
      <c r="K74" s="19" t="str">
        <f>IF($S$1="NOVOgen WHITE Alternatif",'Standard NW Cl Alt'!K74,(IF($S$1="NOVOgen WHITE Light Alternatif",'Standard NW Li Alt'!K74,IF($S$1="NOVOgen WHITE Cages",'Standard NW Cl Ca'!K74,IF($S$1="NOVOgen WHITE Light Cages",'Standard NW Li Ca'!K74,"")))))</f>
        <v/>
      </c>
      <c r="L74" s="17" t="str">
        <f>IF($S$1="NOVOgen WHITE Alternatif",'Standard NW Cl Alt'!L74,(IF($S$1="NOVOgen WHITE Light Alternatif",'Standard NW Li Alt'!L74,IF($S$1="NOVOgen WHITE Cages",'Standard NW Cl Ca'!L74,IF($S$1="NOVOgen WHITE Light Cages",'Standard NW Li Ca'!L74,"")))))</f>
        <v/>
      </c>
    </row>
    <row r="75" spans="1:12" ht="15" customHeight="1" x14ac:dyDescent="0.2">
      <c r="A75" s="10">
        <v>85</v>
      </c>
      <c r="B75" s="13" t="str">
        <f>IF($S$1="NOVOgen WHITE Alternatif",'Standard NW Cl Alt'!B75,(IF($S$1="NOVOgen WHITE Light Alternatif",'Standard NW Li Alt'!B75,IF($S$1="NOVOgen WHITE Cages",'Standard NW Cl Ca'!B75,IF($S$1="NOVOgen WHITE Light Cages",'Standard NW Li Ca'!B75,"")))))</f>
        <v/>
      </c>
      <c r="C75" s="13" t="str">
        <f>IF($S$1="NOVOgen WHITE Alternatif",'Standard NW Cl Alt'!C75,(IF($S$1="NOVOgen WHITE Light Alternatif",'Standard NW Li Alt'!C75,IF($S$1="NOVOgen WHITE Cages",'Standard NW Cl Ca'!C75,IF($S$1="NOVOgen WHITE Light Cages",'Standard NW Li Ca'!C75,"")))))</f>
        <v/>
      </c>
      <c r="D75" s="13" t="str">
        <f>IF($S$1="NOVOgen WHITE Alternatif",'Standard NW Cl Alt'!D75,(IF($S$1="NOVOgen WHITE Light Alternatif",'Standard NW Li Alt'!D75,IF($S$1="NOVOgen WHITE Cages",'Standard NW Cl Ca'!D75,IF($S$1="NOVOgen WHITE Light Cages",'Standard NW Li Ca'!D75,"")))))</f>
        <v/>
      </c>
      <c r="E75" s="14" t="str">
        <f>IF($S$1="NOVOgen WHITE Alternatif",'Standard NW Cl Alt'!E75,(IF($S$1="NOVOgen WHITE Light Alternatif",'Standard NW Li Alt'!E75,IF($S$1="NOVOgen WHITE Cages",'Standard NW Cl Ca'!E75,IF($S$1="NOVOgen WHITE Light Cages",'Standard NW Li Ca'!E75,"")))))</f>
        <v/>
      </c>
      <c r="F75" s="13" t="str">
        <f>IF($S$1="NOVOgen WHITE Alternatif",'Standard NW Cl Alt'!F75,(IF($S$1="NOVOgen WHITE Light Alternatif",'Standard NW Li Alt'!F75,IF($S$1="NOVOgen WHITE Cages",'Standard NW Cl Ca'!F75,IF($S$1="NOVOgen WHITE Light Cages",'Standard NW Li Ca'!F75,"")))))</f>
        <v/>
      </c>
      <c r="G75" s="14" t="str">
        <f>IF($S$1="NOVOgen WHITE Alternatif",'Standard NW Cl Alt'!G75,(IF($S$1="NOVOgen WHITE Light Alternatif",'Standard NW Li Alt'!G75,IF($S$1="NOVOgen WHITE Cages",'Standard NW Cl Ca'!G75,IF($S$1="NOVOgen WHITE Light Cages",'Standard NW Li Ca'!G75,"")))))</f>
        <v/>
      </c>
      <c r="H75" s="13" t="str">
        <f>IF($S$1="NOVOgen WHITE Alternatif",'Standard NW Cl Alt'!H75,(IF($S$1="NOVOgen WHITE Light Alternatif",'Standard NW Li Alt'!H75,IF($S$1="NOVOgen WHITE Cages",'Standard NW Cl Ca'!H75,IF($S$1="NOVOgen WHITE Light Cages",'Standard NW Li Ca'!H75,"")))))</f>
        <v/>
      </c>
      <c r="I75" s="13" t="str">
        <f>IF($S$1="NOVOgen WHITE Alternatif",'Standard NW Cl Alt'!I75,(IF($S$1="NOVOgen WHITE Light Alternatif",'Standard NW Li Alt'!I75,IF($S$1="NOVOgen WHITE Cages",'Standard NW Cl Ca'!I75,IF($S$1="NOVOgen WHITE Light Cages",'Standard NW Li Ca'!I75,"")))))</f>
        <v/>
      </c>
      <c r="J75" s="14" t="str">
        <f>IF($S$1="NOVOgen WHITE Alternatif",'Standard NW Cl Alt'!J75,(IF($S$1="NOVOgen WHITE Light Alternatif",'Standard NW Li Alt'!J75,IF($S$1="NOVOgen WHITE Cages",'Standard NW Cl Ca'!J75,IF($S$1="NOVOgen WHITE Light Cages",'Standard NW Li Ca'!J75,"")))))</f>
        <v/>
      </c>
      <c r="K75" s="15" t="str">
        <f>IF($S$1="NOVOgen WHITE Alternatif",'Standard NW Cl Alt'!K75,(IF($S$1="NOVOgen WHITE Light Alternatif",'Standard NW Li Alt'!K75,IF($S$1="NOVOgen WHITE Cages",'Standard NW Cl Ca'!K75,IF($S$1="NOVOgen WHITE Light Cages",'Standard NW Li Ca'!K75,"")))))</f>
        <v/>
      </c>
      <c r="L75" s="13" t="str">
        <f>IF($S$1="NOVOgen WHITE Alternatif",'Standard NW Cl Alt'!L75,(IF($S$1="NOVOgen WHITE Light Alternatif",'Standard NW Li Alt'!L75,IF($S$1="NOVOgen WHITE Cages",'Standard NW Cl Ca'!L75,IF($S$1="NOVOgen WHITE Light Cages",'Standard NW Li Ca'!L75,"")))))</f>
        <v/>
      </c>
    </row>
    <row r="76" spans="1:12" ht="15" customHeight="1" x14ac:dyDescent="0.2">
      <c r="A76" s="10">
        <v>86</v>
      </c>
      <c r="B76" s="13" t="str">
        <f>IF($S$1="NOVOgen WHITE Alternatif",'Standard NW Cl Alt'!B76,(IF($S$1="NOVOgen WHITE Light Alternatif",'Standard NW Li Alt'!B76,IF($S$1="NOVOgen WHITE Cages",'Standard NW Cl Ca'!B76,IF($S$1="NOVOgen WHITE Light Cages",'Standard NW Li Ca'!B76,"")))))</f>
        <v/>
      </c>
      <c r="C76" s="13" t="str">
        <f>IF($S$1="NOVOgen WHITE Alternatif",'Standard NW Cl Alt'!C76,(IF($S$1="NOVOgen WHITE Light Alternatif",'Standard NW Li Alt'!C76,IF($S$1="NOVOgen WHITE Cages",'Standard NW Cl Ca'!C76,IF($S$1="NOVOgen WHITE Light Cages",'Standard NW Li Ca'!C76,"")))))</f>
        <v/>
      </c>
      <c r="D76" s="13" t="str">
        <f>IF($S$1="NOVOgen WHITE Alternatif",'Standard NW Cl Alt'!D76,(IF($S$1="NOVOgen WHITE Light Alternatif",'Standard NW Li Alt'!D76,IF($S$1="NOVOgen WHITE Cages",'Standard NW Cl Ca'!D76,IF($S$1="NOVOgen WHITE Light Cages",'Standard NW Li Ca'!D76,"")))))</f>
        <v/>
      </c>
      <c r="E76" s="14" t="str">
        <f>IF($S$1="NOVOgen WHITE Alternatif",'Standard NW Cl Alt'!E76,(IF($S$1="NOVOgen WHITE Light Alternatif",'Standard NW Li Alt'!E76,IF($S$1="NOVOgen WHITE Cages",'Standard NW Cl Ca'!E76,IF($S$1="NOVOgen WHITE Light Cages",'Standard NW Li Ca'!E76,"")))))</f>
        <v/>
      </c>
      <c r="F76" s="13" t="str">
        <f>IF($S$1="NOVOgen WHITE Alternatif",'Standard NW Cl Alt'!F76,(IF($S$1="NOVOgen WHITE Light Alternatif",'Standard NW Li Alt'!F76,IF($S$1="NOVOgen WHITE Cages",'Standard NW Cl Ca'!F76,IF($S$1="NOVOgen WHITE Light Cages",'Standard NW Li Ca'!F76,"")))))</f>
        <v/>
      </c>
      <c r="G76" s="14" t="str">
        <f>IF($S$1="NOVOgen WHITE Alternatif",'Standard NW Cl Alt'!G76,(IF($S$1="NOVOgen WHITE Light Alternatif",'Standard NW Li Alt'!G76,IF($S$1="NOVOgen WHITE Cages",'Standard NW Cl Ca'!G76,IF($S$1="NOVOgen WHITE Light Cages",'Standard NW Li Ca'!G76,"")))))</f>
        <v/>
      </c>
      <c r="H76" s="13" t="str">
        <f>IF($S$1="NOVOgen WHITE Alternatif",'Standard NW Cl Alt'!H76,(IF($S$1="NOVOgen WHITE Light Alternatif",'Standard NW Li Alt'!H76,IF($S$1="NOVOgen WHITE Cages",'Standard NW Cl Ca'!H76,IF($S$1="NOVOgen WHITE Light Cages",'Standard NW Li Ca'!H76,"")))))</f>
        <v/>
      </c>
      <c r="I76" s="13" t="str">
        <f>IF($S$1="NOVOgen WHITE Alternatif",'Standard NW Cl Alt'!I76,(IF($S$1="NOVOgen WHITE Light Alternatif",'Standard NW Li Alt'!I76,IF($S$1="NOVOgen WHITE Cages",'Standard NW Cl Ca'!I76,IF($S$1="NOVOgen WHITE Light Cages",'Standard NW Li Ca'!I76,"")))))</f>
        <v/>
      </c>
      <c r="J76" s="14" t="str">
        <f>IF($S$1="NOVOgen WHITE Alternatif",'Standard NW Cl Alt'!J76,(IF($S$1="NOVOgen WHITE Light Alternatif",'Standard NW Li Alt'!J76,IF($S$1="NOVOgen WHITE Cages",'Standard NW Cl Ca'!J76,IF($S$1="NOVOgen WHITE Light Cages",'Standard NW Li Ca'!J76,"")))))</f>
        <v/>
      </c>
      <c r="K76" s="15" t="str">
        <f>IF($S$1="NOVOgen WHITE Alternatif",'Standard NW Cl Alt'!K76,(IF($S$1="NOVOgen WHITE Light Alternatif",'Standard NW Li Alt'!K76,IF($S$1="NOVOgen WHITE Cages",'Standard NW Cl Ca'!K76,IF($S$1="NOVOgen WHITE Light Cages",'Standard NW Li Ca'!K76,"")))))</f>
        <v/>
      </c>
      <c r="L76" s="13" t="str">
        <f>IF($S$1="NOVOgen WHITE Alternatif",'Standard NW Cl Alt'!L76,(IF($S$1="NOVOgen WHITE Light Alternatif",'Standard NW Li Alt'!L76,IF($S$1="NOVOgen WHITE Cages",'Standard NW Cl Ca'!L76,IF($S$1="NOVOgen WHITE Light Cages",'Standard NW Li Ca'!L76,"")))))</f>
        <v/>
      </c>
    </row>
    <row r="77" spans="1:12" ht="15" customHeight="1" x14ac:dyDescent="0.2">
      <c r="A77" s="10">
        <v>87</v>
      </c>
      <c r="B77" s="13" t="str">
        <f>IF($S$1="NOVOgen WHITE Alternatif",'Standard NW Cl Alt'!B77,(IF($S$1="NOVOgen WHITE Light Alternatif",'Standard NW Li Alt'!B77,IF($S$1="NOVOgen WHITE Cages",'Standard NW Cl Ca'!B77,IF($S$1="NOVOgen WHITE Light Cages",'Standard NW Li Ca'!B77,"")))))</f>
        <v/>
      </c>
      <c r="C77" s="13" t="str">
        <f>IF($S$1="NOVOgen WHITE Alternatif",'Standard NW Cl Alt'!C77,(IF($S$1="NOVOgen WHITE Light Alternatif",'Standard NW Li Alt'!C77,IF($S$1="NOVOgen WHITE Cages",'Standard NW Cl Ca'!C77,IF($S$1="NOVOgen WHITE Light Cages",'Standard NW Li Ca'!C77,"")))))</f>
        <v/>
      </c>
      <c r="D77" s="13" t="str">
        <f>IF($S$1="NOVOgen WHITE Alternatif",'Standard NW Cl Alt'!D77,(IF($S$1="NOVOgen WHITE Light Alternatif",'Standard NW Li Alt'!D77,IF($S$1="NOVOgen WHITE Cages",'Standard NW Cl Ca'!D77,IF($S$1="NOVOgen WHITE Light Cages",'Standard NW Li Ca'!D77,"")))))</f>
        <v/>
      </c>
      <c r="E77" s="14" t="str">
        <f>IF($S$1="NOVOgen WHITE Alternatif",'Standard NW Cl Alt'!E77,(IF($S$1="NOVOgen WHITE Light Alternatif",'Standard NW Li Alt'!E77,IF($S$1="NOVOgen WHITE Cages",'Standard NW Cl Ca'!E77,IF($S$1="NOVOgen WHITE Light Cages",'Standard NW Li Ca'!E77,"")))))</f>
        <v/>
      </c>
      <c r="F77" s="13" t="str">
        <f>IF($S$1="NOVOgen WHITE Alternatif",'Standard NW Cl Alt'!F77,(IF($S$1="NOVOgen WHITE Light Alternatif",'Standard NW Li Alt'!F77,IF($S$1="NOVOgen WHITE Cages",'Standard NW Cl Ca'!F77,IF($S$1="NOVOgen WHITE Light Cages",'Standard NW Li Ca'!F77,"")))))</f>
        <v/>
      </c>
      <c r="G77" s="14" t="str">
        <f>IF($S$1="NOVOgen WHITE Alternatif",'Standard NW Cl Alt'!G77,(IF($S$1="NOVOgen WHITE Light Alternatif",'Standard NW Li Alt'!G77,IF($S$1="NOVOgen WHITE Cages",'Standard NW Cl Ca'!G77,IF($S$1="NOVOgen WHITE Light Cages",'Standard NW Li Ca'!G77,"")))))</f>
        <v/>
      </c>
      <c r="H77" s="13" t="str">
        <f>IF($S$1="NOVOgen WHITE Alternatif",'Standard NW Cl Alt'!H77,(IF($S$1="NOVOgen WHITE Light Alternatif",'Standard NW Li Alt'!H77,IF($S$1="NOVOgen WHITE Cages",'Standard NW Cl Ca'!H77,IF($S$1="NOVOgen WHITE Light Cages",'Standard NW Li Ca'!H77,"")))))</f>
        <v/>
      </c>
      <c r="I77" s="13" t="str">
        <f>IF($S$1="NOVOgen WHITE Alternatif",'Standard NW Cl Alt'!I77,(IF($S$1="NOVOgen WHITE Light Alternatif",'Standard NW Li Alt'!I77,IF($S$1="NOVOgen WHITE Cages",'Standard NW Cl Ca'!I77,IF($S$1="NOVOgen WHITE Light Cages",'Standard NW Li Ca'!I77,"")))))</f>
        <v/>
      </c>
      <c r="J77" s="14" t="str">
        <f>IF($S$1="NOVOgen WHITE Alternatif",'Standard NW Cl Alt'!J77,(IF($S$1="NOVOgen WHITE Light Alternatif",'Standard NW Li Alt'!J77,IF($S$1="NOVOgen WHITE Cages",'Standard NW Cl Ca'!J77,IF($S$1="NOVOgen WHITE Light Cages",'Standard NW Li Ca'!J77,"")))))</f>
        <v/>
      </c>
      <c r="K77" s="15" t="str">
        <f>IF($S$1="NOVOgen WHITE Alternatif",'Standard NW Cl Alt'!K77,(IF($S$1="NOVOgen WHITE Light Alternatif",'Standard NW Li Alt'!K77,IF($S$1="NOVOgen WHITE Cages",'Standard NW Cl Ca'!K77,IF($S$1="NOVOgen WHITE Light Cages",'Standard NW Li Ca'!K77,"")))))</f>
        <v/>
      </c>
      <c r="L77" s="13" t="str">
        <f>IF($S$1="NOVOgen WHITE Alternatif",'Standard NW Cl Alt'!L77,(IF($S$1="NOVOgen WHITE Light Alternatif",'Standard NW Li Alt'!L77,IF($S$1="NOVOgen WHITE Cages",'Standard NW Cl Ca'!L77,IF($S$1="NOVOgen WHITE Light Cages",'Standard NW Li Ca'!L77,"")))))</f>
        <v/>
      </c>
    </row>
    <row r="78" spans="1:12" ht="15" customHeight="1" x14ac:dyDescent="0.2">
      <c r="A78" s="16">
        <v>88</v>
      </c>
      <c r="B78" s="17" t="str">
        <f>IF($S$1="NOVOgen WHITE Alternatif",'Standard NW Cl Alt'!B78,(IF($S$1="NOVOgen WHITE Light Alternatif",'Standard NW Li Alt'!B78,IF($S$1="NOVOgen WHITE Cages",'Standard NW Cl Ca'!B78,IF($S$1="NOVOgen WHITE Light Cages",'Standard NW Li Ca'!B78,"")))))</f>
        <v/>
      </c>
      <c r="C78" s="17" t="str">
        <f>IF($S$1="NOVOgen WHITE Alternatif",'Standard NW Cl Alt'!C78,(IF($S$1="NOVOgen WHITE Light Alternatif",'Standard NW Li Alt'!C78,IF($S$1="NOVOgen WHITE Cages",'Standard NW Cl Ca'!C78,IF($S$1="NOVOgen WHITE Light Cages",'Standard NW Li Ca'!C78,"")))))</f>
        <v/>
      </c>
      <c r="D78" s="17" t="str">
        <f>IF($S$1="NOVOgen WHITE Alternatif",'Standard NW Cl Alt'!D78,(IF($S$1="NOVOgen WHITE Light Alternatif",'Standard NW Li Alt'!D78,IF($S$1="NOVOgen WHITE Cages",'Standard NW Cl Ca'!D78,IF($S$1="NOVOgen WHITE Light Cages",'Standard NW Li Ca'!D78,"")))))</f>
        <v/>
      </c>
      <c r="E78" s="18" t="str">
        <f>IF($S$1="NOVOgen WHITE Alternatif",'Standard NW Cl Alt'!E78,(IF($S$1="NOVOgen WHITE Light Alternatif",'Standard NW Li Alt'!E78,IF($S$1="NOVOgen WHITE Cages",'Standard NW Cl Ca'!E78,IF($S$1="NOVOgen WHITE Light Cages",'Standard NW Li Ca'!E78,"")))))</f>
        <v/>
      </c>
      <c r="F78" s="17" t="str">
        <f>IF($S$1="NOVOgen WHITE Alternatif",'Standard NW Cl Alt'!F78,(IF($S$1="NOVOgen WHITE Light Alternatif",'Standard NW Li Alt'!F78,IF($S$1="NOVOgen WHITE Cages",'Standard NW Cl Ca'!F78,IF($S$1="NOVOgen WHITE Light Cages",'Standard NW Li Ca'!F78,"")))))</f>
        <v/>
      </c>
      <c r="G78" s="18" t="str">
        <f>IF($S$1="NOVOgen WHITE Alternatif",'Standard NW Cl Alt'!G78,(IF($S$1="NOVOgen WHITE Light Alternatif",'Standard NW Li Alt'!G78,IF($S$1="NOVOgen WHITE Cages",'Standard NW Cl Ca'!G78,IF($S$1="NOVOgen WHITE Light Cages",'Standard NW Li Ca'!G78,"")))))</f>
        <v/>
      </c>
      <c r="H78" s="17" t="str">
        <f>IF($S$1="NOVOgen WHITE Alternatif",'Standard NW Cl Alt'!H78,(IF($S$1="NOVOgen WHITE Light Alternatif",'Standard NW Li Alt'!H78,IF($S$1="NOVOgen WHITE Cages",'Standard NW Cl Ca'!H78,IF($S$1="NOVOgen WHITE Light Cages",'Standard NW Li Ca'!H78,"")))))</f>
        <v/>
      </c>
      <c r="I78" s="17" t="str">
        <f>IF($S$1="NOVOgen WHITE Alternatif",'Standard NW Cl Alt'!I78,(IF($S$1="NOVOgen WHITE Light Alternatif",'Standard NW Li Alt'!I78,IF($S$1="NOVOgen WHITE Cages",'Standard NW Cl Ca'!I78,IF($S$1="NOVOgen WHITE Light Cages",'Standard NW Li Ca'!I78,"")))))</f>
        <v/>
      </c>
      <c r="J78" s="18" t="str">
        <f>IF($S$1="NOVOgen WHITE Alternatif",'Standard NW Cl Alt'!J78,(IF($S$1="NOVOgen WHITE Light Alternatif",'Standard NW Li Alt'!J78,IF($S$1="NOVOgen WHITE Cages",'Standard NW Cl Ca'!J78,IF($S$1="NOVOgen WHITE Light Cages",'Standard NW Li Ca'!J78,"")))))</f>
        <v/>
      </c>
      <c r="K78" s="19" t="str">
        <f>IF($S$1="NOVOgen WHITE Alternatif",'Standard NW Cl Alt'!K78,(IF($S$1="NOVOgen WHITE Light Alternatif",'Standard NW Li Alt'!K78,IF($S$1="NOVOgen WHITE Cages",'Standard NW Cl Ca'!K78,IF($S$1="NOVOgen WHITE Light Cages",'Standard NW Li Ca'!K78,"")))))</f>
        <v/>
      </c>
      <c r="L78" s="17" t="str">
        <f>IF($S$1="NOVOgen WHITE Alternatif",'Standard NW Cl Alt'!L78,(IF($S$1="NOVOgen WHITE Light Alternatif",'Standard NW Li Alt'!L78,IF($S$1="NOVOgen WHITE Cages",'Standard NW Cl Ca'!L78,IF($S$1="NOVOgen WHITE Light Cages",'Standard NW Li Ca'!L78,"")))))</f>
        <v/>
      </c>
    </row>
    <row r="79" spans="1:12" ht="15" customHeight="1" x14ac:dyDescent="0.2">
      <c r="A79" s="10">
        <v>89</v>
      </c>
      <c r="B79" s="13" t="str">
        <f>IF($S$1="NOVOgen WHITE Alternatif",'Standard NW Cl Alt'!B79,(IF($S$1="NOVOgen WHITE Light Alternatif",'Standard NW Li Alt'!B79,IF($S$1="NOVOgen WHITE Cages",'Standard NW Cl Ca'!B79,IF($S$1="NOVOgen WHITE Light Cages",'Standard NW Li Ca'!B79,"")))))</f>
        <v/>
      </c>
      <c r="C79" s="13" t="str">
        <f>IF($S$1="NOVOgen WHITE Alternatif",'Standard NW Cl Alt'!C79,(IF($S$1="NOVOgen WHITE Light Alternatif",'Standard NW Li Alt'!C79,IF($S$1="NOVOgen WHITE Cages",'Standard NW Cl Ca'!C79,IF($S$1="NOVOgen WHITE Light Cages",'Standard NW Li Ca'!C79,"")))))</f>
        <v/>
      </c>
      <c r="D79" s="13" t="str">
        <f>IF($S$1="NOVOgen WHITE Alternatif",'Standard NW Cl Alt'!D79,(IF($S$1="NOVOgen WHITE Light Alternatif",'Standard NW Li Alt'!D79,IF($S$1="NOVOgen WHITE Cages",'Standard NW Cl Ca'!D79,IF($S$1="NOVOgen WHITE Light Cages",'Standard NW Li Ca'!D79,"")))))</f>
        <v/>
      </c>
      <c r="E79" s="14" t="str">
        <f>IF($S$1="NOVOgen WHITE Alternatif",'Standard NW Cl Alt'!E79,(IF($S$1="NOVOgen WHITE Light Alternatif",'Standard NW Li Alt'!E79,IF($S$1="NOVOgen WHITE Cages",'Standard NW Cl Ca'!E79,IF($S$1="NOVOgen WHITE Light Cages",'Standard NW Li Ca'!E79,"")))))</f>
        <v/>
      </c>
      <c r="F79" s="13" t="str">
        <f>IF($S$1="NOVOgen WHITE Alternatif",'Standard NW Cl Alt'!F79,(IF($S$1="NOVOgen WHITE Light Alternatif",'Standard NW Li Alt'!F79,IF($S$1="NOVOgen WHITE Cages",'Standard NW Cl Ca'!F79,IF($S$1="NOVOgen WHITE Light Cages",'Standard NW Li Ca'!F79,"")))))</f>
        <v/>
      </c>
      <c r="G79" s="14" t="str">
        <f>IF($S$1="NOVOgen WHITE Alternatif",'Standard NW Cl Alt'!G79,(IF($S$1="NOVOgen WHITE Light Alternatif",'Standard NW Li Alt'!G79,IF($S$1="NOVOgen WHITE Cages",'Standard NW Cl Ca'!G79,IF($S$1="NOVOgen WHITE Light Cages",'Standard NW Li Ca'!G79,"")))))</f>
        <v/>
      </c>
      <c r="H79" s="13" t="str">
        <f>IF($S$1="NOVOgen WHITE Alternatif",'Standard NW Cl Alt'!H79,(IF($S$1="NOVOgen WHITE Light Alternatif",'Standard NW Li Alt'!H79,IF($S$1="NOVOgen WHITE Cages",'Standard NW Cl Ca'!H79,IF($S$1="NOVOgen WHITE Light Cages",'Standard NW Li Ca'!H79,"")))))</f>
        <v/>
      </c>
      <c r="I79" s="13" t="str">
        <f>IF($S$1="NOVOgen WHITE Alternatif",'Standard NW Cl Alt'!I79,(IF($S$1="NOVOgen WHITE Light Alternatif",'Standard NW Li Alt'!I79,IF($S$1="NOVOgen WHITE Cages",'Standard NW Cl Ca'!I79,IF($S$1="NOVOgen WHITE Light Cages",'Standard NW Li Ca'!I79,"")))))</f>
        <v/>
      </c>
      <c r="J79" s="14" t="str">
        <f>IF($S$1="NOVOgen WHITE Alternatif",'Standard NW Cl Alt'!J79,(IF($S$1="NOVOgen WHITE Light Alternatif",'Standard NW Li Alt'!J79,IF($S$1="NOVOgen WHITE Cages",'Standard NW Cl Ca'!J79,IF($S$1="NOVOgen WHITE Light Cages",'Standard NW Li Ca'!J79,"")))))</f>
        <v/>
      </c>
      <c r="K79" s="15" t="str">
        <f>IF($S$1="NOVOgen WHITE Alternatif",'Standard NW Cl Alt'!K79,(IF($S$1="NOVOgen WHITE Light Alternatif",'Standard NW Li Alt'!K79,IF($S$1="NOVOgen WHITE Cages",'Standard NW Cl Ca'!K79,IF($S$1="NOVOgen WHITE Light Cages",'Standard NW Li Ca'!K79,"")))))</f>
        <v/>
      </c>
      <c r="L79" s="13" t="str">
        <f>IF($S$1="NOVOgen WHITE Alternatif",'Standard NW Cl Alt'!L79,(IF($S$1="NOVOgen WHITE Light Alternatif",'Standard NW Li Alt'!L79,IF($S$1="NOVOgen WHITE Cages",'Standard NW Cl Ca'!L79,IF($S$1="NOVOgen WHITE Light Cages",'Standard NW Li Ca'!L79,"")))))</f>
        <v/>
      </c>
    </row>
    <row r="80" spans="1:12" ht="15" customHeight="1" x14ac:dyDescent="0.2">
      <c r="A80" s="20">
        <v>90</v>
      </c>
      <c r="B80" s="21" t="str">
        <f>IF($S$1="NOVOgen WHITE Alternatif",'Standard NW Cl Alt'!B80,(IF($S$1="NOVOgen WHITE Light Alternatif",'Standard NW Li Alt'!B80,IF($S$1="NOVOgen WHITE Cages",'Standard NW Cl Ca'!B80,IF($S$1="NOVOgen WHITE Light Cages",'Standard NW Li Ca'!B80,"")))))</f>
        <v/>
      </c>
      <c r="C80" s="21" t="str">
        <f>IF($S$1="NOVOgen WHITE Alternatif",'Standard NW Cl Alt'!C80,(IF($S$1="NOVOgen WHITE Light Alternatif",'Standard NW Li Alt'!C80,IF($S$1="NOVOgen WHITE Cages",'Standard NW Cl Ca'!C80,IF($S$1="NOVOgen WHITE Light Cages",'Standard NW Li Ca'!C80,"")))))</f>
        <v/>
      </c>
      <c r="D80" s="21" t="str">
        <f>IF($S$1="NOVOgen WHITE Alternatif",'Standard NW Cl Alt'!D80,(IF($S$1="NOVOgen WHITE Light Alternatif",'Standard NW Li Alt'!D80,IF($S$1="NOVOgen WHITE Cages",'Standard NW Cl Ca'!D80,IF($S$1="NOVOgen WHITE Light Cages",'Standard NW Li Ca'!D80,"")))))</f>
        <v/>
      </c>
      <c r="E80" s="22" t="str">
        <f>IF($S$1="NOVOgen WHITE Alternatif",'Standard NW Cl Alt'!E80,(IF($S$1="NOVOgen WHITE Light Alternatif",'Standard NW Li Alt'!E80,IF($S$1="NOVOgen WHITE Cages",'Standard NW Cl Ca'!E80,IF($S$1="NOVOgen WHITE Light Cages",'Standard NW Li Ca'!E80,"")))))</f>
        <v/>
      </c>
      <c r="F80" s="21" t="str">
        <f>IF($S$1="NOVOgen WHITE Alternatif",'Standard NW Cl Alt'!F80,(IF($S$1="NOVOgen WHITE Light Alternatif",'Standard NW Li Alt'!F80,IF($S$1="NOVOgen WHITE Cages",'Standard NW Cl Ca'!F80,IF($S$1="NOVOgen WHITE Light Cages",'Standard NW Li Ca'!F80,"")))))</f>
        <v/>
      </c>
      <c r="G80" s="22" t="str">
        <f>IF($S$1="NOVOgen WHITE Alternatif",'Standard NW Cl Alt'!G80,(IF($S$1="NOVOgen WHITE Light Alternatif",'Standard NW Li Alt'!G80,IF($S$1="NOVOgen WHITE Cages",'Standard NW Cl Ca'!G80,IF($S$1="NOVOgen WHITE Light Cages",'Standard NW Li Ca'!G80,"")))))</f>
        <v/>
      </c>
      <c r="H80" s="21" t="str">
        <f>IF($S$1="NOVOgen WHITE Alternatif",'Standard NW Cl Alt'!H80,(IF($S$1="NOVOgen WHITE Light Alternatif",'Standard NW Li Alt'!H80,IF($S$1="NOVOgen WHITE Cages",'Standard NW Cl Ca'!H80,IF($S$1="NOVOgen WHITE Light Cages",'Standard NW Li Ca'!H80,"")))))</f>
        <v/>
      </c>
      <c r="I80" s="21" t="str">
        <f>IF($S$1="NOVOgen WHITE Alternatif",'Standard NW Cl Alt'!I80,(IF($S$1="NOVOgen WHITE Light Alternatif",'Standard NW Li Alt'!I80,IF($S$1="NOVOgen WHITE Cages",'Standard NW Cl Ca'!I80,IF($S$1="NOVOgen WHITE Light Cages",'Standard NW Li Ca'!I80,"")))))</f>
        <v/>
      </c>
      <c r="J80" s="22" t="str">
        <f>IF($S$1="NOVOgen WHITE Alternatif",'Standard NW Cl Alt'!J80,(IF($S$1="NOVOgen WHITE Light Alternatif",'Standard NW Li Alt'!J80,IF($S$1="NOVOgen WHITE Cages",'Standard NW Cl Ca'!J80,IF($S$1="NOVOgen WHITE Light Cages",'Standard NW Li Ca'!J80,"")))))</f>
        <v/>
      </c>
      <c r="K80" s="23" t="str">
        <f>IF($S$1="NOVOgen WHITE Alternatif",'Standard NW Cl Alt'!K80,(IF($S$1="NOVOgen WHITE Light Alternatif",'Standard NW Li Alt'!K80,IF($S$1="NOVOgen WHITE Cages",'Standard NW Cl Ca'!K80,IF($S$1="NOVOgen WHITE Light Cages",'Standard NW Li Ca'!K80,"")))))</f>
        <v/>
      </c>
      <c r="L80" s="21" t="str">
        <f>IF($S$1="NOVOgen WHITE Alternatif",'Standard NW Cl Alt'!L80,(IF($S$1="NOVOgen WHITE Light Alternatif",'Standard NW Li Alt'!L80,IF($S$1="NOVOgen WHITE Cages",'Standard NW Cl Ca'!L80,IF($S$1="NOVOgen WHITE Light Cages",'Standard NW Li Ca'!L80,"")))))</f>
        <v/>
      </c>
    </row>
    <row r="81" spans="1:12" x14ac:dyDescent="0.2">
      <c r="A81" s="543" t="s">
        <v>169</v>
      </c>
      <c r="B81" s="543"/>
      <c r="C81" s="543"/>
      <c r="D81" s="543"/>
      <c r="E81" s="543"/>
      <c r="F81" s="543"/>
      <c r="G81" s="543"/>
      <c r="H81" s="543"/>
      <c r="I81" s="543"/>
      <c r="J81" s="543"/>
      <c r="K81" s="543"/>
      <c r="L81" s="543"/>
    </row>
    <row r="82" spans="1:12" x14ac:dyDescent="0.2">
      <c r="A82" s="543" t="s">
        <v>170</v>
      </c>
      <c r="B82" s="543"/>
      <c r="C82" s="543"/>
      <c r="D82" s="543"/>
      <c r="E82" s="543"/>
      <c r="F82" s="543"/>
      <c r="G82" s="543"/>
      <c r="H82" s="543"/>
      <c r="I82" s="543"/>
      <c r="J82" s="543"/>
      <c r="K82" s="543"/>
      <c r="L82" s="543"/>
    </row>
    <row r="83" spans="1:12" x14ac:dyDescent="0.2">
      <c r="A83" s="543" t="s">
        <v>171</v>
      </c>
      <c r="B83" s="543"/>
      <c r="C83" s="543"/>
      <c r="D83" s="543"/>
      <c r="E83" s="543"/>
      <c r="F83" s="543"/>
      <c r="G83" s="543"/>
      <c r="H83" s="543"/>
      <c r="I83" s="543"/>
      <c r="J83" s="543"/>
      <c r="K83" s="543"/>
      <c r="L83" s="543"/>
    </row>
  </sheetData>
  <mergeCells count="6">
    <mergeCell ref="P6:Q6"/>
    <mergeCell ref="N1:Q1"/>
    <mergeCell ref="A81:L81"/>
    <mergeCell ref="A82:L82"/>
    <mergeCell ref="A83:L83"/>
    <mergeCell ref="A1:L1"/>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Q83"/>
  <sheetViews>
    <sheetView topLeftCell="A54" workbookViewId="0">
      <selection activeCell="J73" sqref="J7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2" t="s">
        <v>256</v>
      </c>
      <c r="B1" s="542"/>
      <c r="C1" s="542"/>
      <c r="D1" s="542"/>
      <c r="E1" s="542"/>
      <c r="F1" s="542"/>
      <c r="G1" s="542"/>
      <c r="H1" s="542"/>
      <c r="I1" s="542"/>
      <c r="J1" s="542"/>
      <c r="K1" s="542"/>
      <c r="L1" s="542"/>
      <c r="N1" s="542" t="s">
        <v>260</v>
      </c>
      <c r="O1" s="542"/>
      <c r="P1" s="542"/>
      <c r="Q1" s="542"/>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0" t="s">
        <v>89</v>
      </c>
      <c r="Q6" s="541"/>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1250</v>
      </c>
      <c r="C8" s="12">
        <v>78</v>
      </c>
      <c r="D8" s="12">
        <v>0</v>
      </c>
      <c r="E8" s="12">
        <v>0.1</v>
      </c>
      <c r="F8" s="12">
        <v>0</v>
      </c>
      <c r="G8" s="12">
        <v>0</v>
      </c>
      <c r="H8" s="12">
        <v>0</v>
      </c>
      <c r="I8" s="12">
        <v>0</v>
      </c>
      <c r="J8" s="12">
        <v>0</v>
      </c>
      <c r="K8" s="12">
        <v>0</v>
      </c>
      <c r="L8" s="12">
        <v>0</v>
      </c>
      <c r="N8" s="100">
        <v>0</v>
      </c>
      <c r="O8" s="101"/>
      <c r="P8" s="102">
        <v>32</v>
      </c>
      <c r="Q8" s="102">
        <v>35</v>
      </c>
    </row>
    <row r="9" spans="1:17" ht="15" customHeight="1" x14ac:dyDescent="0.2">
      <c r="A9" s="10">
        <v>19</v>
      </c>
      <c r="B9" s="13">
        <v>1315</v>
      </c>
      <c r="C9" s="13">
        <v>84</v>
      </c>
      <c r="D9" s="13">
        <v>5</v>
      </c>
      <c r="E9" s="14">
        <v>0.2</v>
      </c>
      <c r="F9" s="13">
        <v>0.3493</v>
      </c>
      <c r="G9" s="14">
        <v>43.4</v>
      </c>
      <c r="H9" s="13">
        <v>15.15962</v>
      </c>
      <c r="I9" s="13">
        <v>15.15962</v>
      </c>
      <c r="J9" s="14">
        <v>43.4</v>
      </c>
      <c r="K9" s="15">
        <v>74.690394614113018</v>
      </c>
      <c r="L9" s="13">
        <v>3241.5631262525053</v>
      </c>
      <c r="N9" s="101">
        <v>1</v>
      </c>
      <c r="O9" s="101">
        <v>10</v>
      </c>
      <c r="P9" s="102">
        <v>70</v>
      </c>
      <c r="Q9" s="102">
        <v>75</v>
      </c>
    </row>
    <row r="10" spans="1:17" ht="15" customHeight="1" x14ac:dyDescent="0.2">
      <c r="A10" s="16">
        <v>20</v>
      </c>
      <c r="B10" s="17">
        <v>1365</v>
      </c>
      <c r="C10" s="17">
        <v>89</v>
      </c>
      <c r="D10" s="17">
        <v>25</v>
      </c>
      <c r="E10" s="18">
        <v>0.30000000000000004</v>
      </c>
      <c r="F10" s="17">
        <v>2.0940500000000002</v>
      </c>
      <c r="G10" s="18">
        <v>48.9</v>
      </c>
      <c r="H10" s="17">
        <v>85.318275</v>
      </c>
      <c r="I10" s="17">
        <v>100.477895</v>
      </c>
      <c r="J10" s="18">
        <v>47.982567273942834</v>
      </c>
      <c r="K10" s="19">
        <v>17.450694005880596</v>
      </c>
      <c r="L10" s="17">
        <v>837.32909911415675</v>
      </c>
      <c r="N10" s="101">
        <v>2</v>
      </c>
      <c r="O10" s="101">
        <v>15</v>
      </c>
      <c r="P10" s="102">
        <v>125</v>
      </c>
      <c r="Q10" s="102">
        <v>130</v>
      </c>
    </row>
    <row r="11" spans="1:17" ht="15" customHeight="1" x14ac:dyDescent="0.2">
      <c r="A11" s="10">
        <v>21</v>
      </c>
      <c r="B11" s="13">
        <v>1405</v>
      </c>
      <c r="C11" s="13">
        <v>95</v>
      </c>
      <c r="D11" s="13">
        <v>55</v>
      </c>
      <c r="E11" s="14">
        <v>0.4</v>
      </c>
      <c r="F11" s="13">
        <v>5.9286500000000011</v>
      </c>
      <c r="G11" s="14">
        <v>51.4</v>
      </c>
      <c r="H11" s="13">
        <v>197.09844000000001</v>
      </c>
      <c r="I11" s="13">
        <v>297.57633500000003</v>
      </c>
      <c r="J11" s="14">
        <v>50.192933467146815</v>
      </c>
      <c r="K11" s="15">
        <v>8.1180817016245594</v>
      </c>
      <c r="L11" s="13">
        <v>407.47033473050357</v>
      </c>
      <c r="N11" s="101">
        <v>3</v>
      </c>
      <c r="O11" s="101">
        <v>22</v>
      </c>
      <c r="P11" s="102">
        <v>190</v>
      </c>
      <c r="Q11" s="102">
        <v>200.45</v>
      </c>
    </row>
    <row r="12" spans="1:17" ht="15" customHeight="1" x14ac:dyDescent="0.2">
      <c r="A12" s="10">
        <v>22</v>
      </c>
      <c r="B12" s="13">
        <v>1450</v>
      </c>
      <c r="C12" s="13">
        <v>99</v>
      </c>
      <c r="D12" s="13">
        <v>78</v>
      </c>
      <c r="E12" s="14">
        <v>0.5</v>
      </c>
      <c r="F12" s="13">
        <v>11.361350000000002</v>
      </c>
      <c r="G12" s="14">
        <v>53</v>
      </c>
      <c r="H12" s="13">
        <v>287.93310000000002</v>
      </c>
      <c r="I12" s="13">
        <v>585.50943500000005</v>
      </c>
      <c r="J12" s="14">
        <v>51.535199162071407</v>
      </c>
      <c r="K12" s="15">
        <v>5.3035592842325414</v>
      </c>
      <c r="L12" s="13">
        <v>273.3199839807769</v>
      </c>
      <c r="N12" s="101">
        <v>4</v>
      </c>
      <c r="O12" s="101">
        <v>31</v>
      </c>
      <c r="P12" s="102">
        <v>270</v>
      </c>
      <c r="Q12" s="102">
        <v>284.85000000000002</v>
      </c>
    </row>
    <row r="13" spans="1:17" ht="15" customHeight="1" x14ac:dyDescent="0.2">
      <c r="A13" s="10">
        <v>23</v>
      </c>
      <c r="B13" s="13">
        <v>1485</v>
      </c>
      <c r="C13" s="13">
        <v>103</v>
      </c>
      <c r="D13" s="13">
        <v>86</v>
      </c>
      <c r="E13" s="14">
        <v>0.6</v>
      </c>
      <c r="F13" s="13">
        <v>17.345230000000001</v>
      </c>
      <c r="G13" s="14">
        <v>54.5</v>
      </c>
      <c r="H13" s="13">
        <v>326.12146000000001</v>
      </c>
      <c r="I13" s="13">
        <v>911.63089500000001</v>
      </c>
      <c r="J13" s="14">
        <v>52.558017103261243</v>
      </c>
      <c r="K13" s="15">
        <v>4.1924401871000656</v>
      </c>
      <c r="L13" s="13">
        <v>220.346343058005</v>
      </c>
      <c r="N13" s="101">
        <v>5</v>
      </c>
      <c r="O13" s="101">
        <v>35</v>
      </c>
      <c r="P13" s="102">
        <v>345</v>
      </c>
      <c r="Q13" s="102">
        <v>365</v>
      </c>
    </row>
    <row r="14" spans="1:17" ht="15" customHeight="1" x14ac:dyDescent="0.2">
      <c r="A14" s="16">
        <v>24</v>
      </c>
      <c r="B14" s="17">
        <v>1515</v>
      </c>
      <c r="C14" s="17">
        <v>105</v>
      </c>
      <c r="D14" s="17">
        <v>90</v>
      </c>
      <c r="E14" s="18">
        <v>0.7</v>
      </c>
      <c r="F14" s="17">
        <v>23.601130000000001</v>
      </c>
      <c r="G14" s="18">
        <v>55.6</v>
      </c>
      <c r="H14" s="17">
        <v>347.82804000000004</v>
      </c>
      <c r="I14" s="17">
        <v>1259.4589350000001</v>
      </c>
      <c r="J14" s="18">
        <v>53.364348868041489</v>
      </c>
      <c r="K14" s="19">
        <v>3.6141019556147733</v>
      </c>
      <c r="L14" s="17">
        <v>192.86419760409777</v>
      </c>
      <c r="N14" s="101">
        <v>6</v>
      </c>
      <c r="O14" s="101">
        <v>41</v>
      </c>
      <c r="P14" s="102">
        <v>425</v>
      </c>
      <c r="Q14" s="102">
        <v>450</v>
      </c>
    </row>
    <row r="15" spans="1:17" ht="15" customHeight="1" x14ac:dyDescent="0.2">
      <c r="A15" s="10">
        <v>25</v>
      </c>
      <c r="B15" s="13">
        <v>1545</v>
      </c>
      <c r="C15" s="13">
        <v>107</v>
      </c>
      <c r="D15" s="13">
        <v>93</v>
      </c>
      <c r="E15" s="14">
        <v>0.79999999999999993</v>
      </c>
      <c r="F15" s="13">
        <v>30.059050000000003</v>
      </c>
      <c r="G15" s="14">
        <v>56.8</v>
      </c>
      <c r="H15" s="13">
        <v>366.80985600000002</v>
      </c>
      <c r="I15" s="13">
        <v>1626.2687910000002</v>
      </c>
      <c r="J15" s="14">
        <v>54.102468008802674</v>
      </c>
      <c r="K15" s="15">
        <v>3.2558092667720628</v>
      </c>
      <c r="L15" s="13">
        <v>176.14731669829882</v>
      </c>
      <c r="N15" s="101">
        <v>7</v>
      </c>
      <c r="O15" s="101">
        <v>45</v>
      </c>
      <c r="P15" s="102">
        <v>500</v>
      </c>
      <c r="Q15" s="102">
        <v>530</v>
      </c>
    </row>
    <row r="16" spans="1:17" ht="15" customHeight="1" x14ac:dyDescent="0.2">
      <c r="A16" s="10">
        <v>26</v>
      </c>
      <c r="B16" s="13">
        <v>1575</v>
      </c>
      <c r="C16" s="13">
        <v>108</v>
      </c>
      <c r="D16" s="13">
        <v>94</v>
      </c>
      <c r="E16" s="14">
        <v>0.89999999999999991</v>
      </c>
      <c r="F16" s="13">
        <v>36.579830000000001</v>
      </c>
      <c r="G16" s="14">
        <v>57.699999999999996</v>
      </c>
      <c r="H16" s="13">
        <v>376.24900599999995</v>
      </c>
      <c r="I16" s="13">
        <v>2002.5177970000002</v>
      </c>
      <c r="J16" s="14">
        <v>54.743769913638204</v>
      </c>
      <c r="K16" s="15">
        <v>3.0182088813665606</v>
      </c>
      <c r="L16" s="13">
        <v>165.22813255283035</v>
      </c>
      <c r="N16" s="101">
        <v>8</v>
      </c>
      <c r="O16" s="101">
        <v>48</v>
      </c>
      <c r="P16" s="102">
        <v>575</v>
      </c>
      <c r="Q16" s="102">
        <v>605</v>
      </c>
    </row>
    <row r="17" spans="1:17" ht="15" customHeight="1" x14ac:dyDescent="0.2">
      <c r="A17" s="10">
        <v>27</v>
      </c>
      <c r="B17" s="13">
        <v>1600</v>
      </c>
      <c r="C17" s="13">
        <v>108</v>
      </c>
      <c r="D17" s="13">
        <v>94.5</v>
      </c>
      <c r="E17" s="14">
        <v>0.99999999999999989</v>
      </c>
      <c r="F17" s="13">
        <v>43.128680000000003</v>
      </c>
      <c r="G17" s="14">
        <v>58.4</v>
      </c>
      <c r="H17" s="13">
        <v>382.45283999999992</v>
      </c>
      <c r="I17" s="13">
        <v>2384.9706370000004</v>
      </c>
      <c r="J17" s="14">
        <v>55.298948101356224</v>
      </c>
      <c r="K17" s="15">
        <v>2.8480254199456625</v>
      </c>
      <c r="L17" s="13">
        <v>157.49280988891846</v>
      </c>
      <c r="N17" s="101">
        <v>9</v>
      </c>
      <c r="O17" s="101">
        <v>51</v>
      </c>
      <c r="P17" s="102">
        <v>655</v>
      </c>
      <c r="Q17" s="102">
        <v>690</v>
      </c>
    </row>
    <row r="18" spans="1:17" ht="15" customHeight="1" x14ac:dyDescent="0.2">
      <c r="A18" s="16">
        <v>28</v>
      </c>
      <c r="B18" s="17">
        <v>1625</v>
      </c>
      <c r="C18" s="17">
        <v>108</v>
      </c>
      <c r="D18" s="17">
        <v>94.8</v>
      </c>
      <c r="E18" s="18">
        <v>1.0999999999999999</v>
      </c>
      <c r="F18" s="17">
        <v>49.691684000000002</v>
      </c>
      <c r="G18" s="18">
        <v>59</v>
      </c>
      <c r="H18" s="17">
        <v>387.21723600000001</v>
      </c>
      <c r="I18" s="17">
        <v>2772.1878730000003</v>
      </c>
      <c r="J18" s="18">
        <v>55.7877626566248</v>
      </c>
      <c r="K18" s="19">
        <v>2.719924242306214</v>
      </c>
      <c r="L18" s="17">
        <v>151.73848807377911</v>
      </c>
      <c r="N18" s="101">
        <v>10</v>
      </c>
      <c r="O18" s="101">
        <v>53</v>
      </c>
      <c r="P18" s="102">
        <v>725</v>
      </c>
      <c r="Q18" s="102">
        <v>764.875</v>
      </c>
    </row>
    <row r="19" spans="1:17" ht="15" customHeight="1" x14ac:dyDescent="0.2">
      <c r="A19" s="10">
        <v>29</v>
      </c>
      <c r="B19" s="13">
        <v>1635</v>
      </c>
      <c r="C19" s="13">
        <v>108</v>
      </c>
      <c r="D19" s="13">
        <v>95</v>
      </c>
      <c r="E19" s="14">
        <v>1.2</v>
      </c>
      <c r="F19" s="13">
        <v>56.261884000000002</v>
      </c>
      <c r="G19" s="14">
        <v>59.5</v>
      </c>
      <c r="H19" s="13">
        <v>390.92689999999999</v>
      </c>
      <c r="I19" s="13">
        <v>3163.1147730000002</v>
      </c>
      <c r="J19" s="14">
        <v>56.221273589060758</v>
      </c>
      <c r="K19" s="15">
        <v>2.6199077791098544</v>
      </c>
      <c r="L19" s="13">
        <v>147.29455202744367</v>
      </c>
      <c r="N19" s="101">
        <v>11</v>
      </c>
      <c r="O19" s="101">
        <v>55</v>
      </c>
      <c r="P19" s="102">
        <v>795</v>
      </c>
      <c r="Q19" s="102">
        <v>840</v>
      </c>
    </row>
    <row r="20" spans="1:17" ht="15" customHeight="1" x14ac:dyDescent="0.2">
      <c r="A20" s="10">
        <v>30</v>
      </c>
      <c r="B20" s="13">
        <v>1645</v>
      </c>
      <c r="C20" s="13">
        <v>108</v>
      </c>
      <c r="D20" s="13">
        <v>95</v>
      </c>
      <c r="E20" s="14">
        <v>1.3</v>
      </c>
      <c r="F20" s="13">
        <v>62.825434000000001</v>
      </c>
      <c r="G20" s="14">
        <v>60</v>
      </c>
      <c r="H20" s="13">
        <v>393.81299999999999</v>
      </c>
      <c r="I20" s="13">
        <v>3556.9277730000003</v>
      </c>
      <c r="J20" s="14">
        <v>56.616047777720091</v>
      </c>
      <c r="K20" s="15">
        <v>2.5396189004932039</v>
      </c>
      <c r="L20" s="13">
        <v>143.7831850075242</v>
      </c>
      <c r="N20" s="101">
        <v>12</v>
      </c>
      <c r="O20" s="101">
        <v>57</v>
      </c>
      <c r="P20" s="102">
        <v>865</v>
      </c>
      <c r="Q20" s="102">
        <v>915</v>
      </c>
    </row>
    <row r="21" spans="1:17" ht="15" customHeight="1" x14ac:dyDescent="0.2">
      <c r="A21" s="10">
        <v>31</v>
      </c>
      <c r="B21" s="13">
        <v>1647</v>
      </c>
      <c r="C21" s="13">
        <v>108</v>
      </c>
      <c r="D21" s="13">
        <v>95</v>
      </c>
      <c r="E21" s="14">
        <v>1.4000000000000001</v>
      </c>
      <c r="F21" s="13">
        <v>69.382334</v>
      </c>
      <c r="G21" s="14">
        <v>60.4</v>
      </c>
      <c r="H21" s="13">
        <v>396.03675999999996</v>
      </c>
      <c r="I21" s="13">
        <v>3952.9645330000003</v>
      </c>
      <c r="J21" s="14">
        <v>56.973645957197121</v>
      </c>
      <c r="K21" s="15">
        <v>2.4737527793042813</v>
      </c>
      <c r="L21" s="13">
        <v>140.93871503371452</v>
      </c>
      <c r="N21" s="101">
        <v>13</v>
      </c>
      <c r="O21" s="101">
        <v>60</v>
      </c>
      <c r="P21" s="102">
        <v>930</v>
      </c>
      <c r="Q21" s="102">
        <v>980</v>
      </c>
    </row>
    <row r="22" spans="1:17" ht="15" customHeight="1" x14ac:dyDescent="0.2">
      <c r="A22" s="16">
        <v>32</v>
      </c>
      <c r="B22" s="17">
        <v>1650</v>
      </c>
      <c r="C22" s="17">
        <v>108</v>
      </c>
      <c r="D22" s="17">
        <v>95</v>
      </c>
      <c r="E22" s="18">
        <v>1.5000000000000002</v>
      </c>
      <c r="F22" s="17">
        <v>75.932584000000006</v>
      </c>
      <c r="G22" s="18">
        <v>60.8</v>
      </c>
      <c r="H22" s="17">
        <v>398.2552</v>
      </c>
      <c r="I22" s="17">
        <v>4351.2197329999999</v>
      </c>
      <c r="J22" s="18">
        <v>57.303722641652755</v>
      </c>
      <c r="K22" s="19">
        <v>2.4184751967799558</v>
      </c>
      <c r="L22" s="17">
        <v>138.58763189199513</v>
      </c>
      <c r="N22" s="101">
        <v>14</v>
      </c>
      <c r="O22" s="101">
        <v>63</v>
      </c>
      <c r="P22" s="102">
        <v>990</v>
      </c>
      <c r="Q22" s="102">
        <v>1045</v>
      </c>
    </row>
    <row r="23" spans="1:17" ht="15" customHeight="1" x14ac:dyDescent="0.2">
      <c r="A23" s="10">
        <v>33</v>
      </c>
      <c r="B23" s="13">
        <v>1655</v>
      </c>
      <c r="C23" s="13">
        <v>108</v>
      </c>
      <c r="D23" s="13">
        <v>95</v>
      </c>
      <c r="E23" s="14">
        <v>1.6000000000000003</v>
      </c>
      <c r="F23" s="13">
        <v>82.476184000000003</v>
      </c>
      <c r="G23" s="14">
        <v>61.1</v>
      </c>
      <c r="H23" s="13">
        <v>399.81396000000007</v>
      </c>
      <c r="I23" s="13">
        <v>4751.0336930000003</v>
      </c>
      <c r="J23" s="14">
        <v>57.604916505351412</v>
      </c>
      <c r="K23" s="15">
        <v>2.3715304348610942</v>
      </c>
      <c r="L23" s="13">
        <v>136.61181269007307</v>
      </c>
      <c r="N23" s="101">
        <v>15</v>
      </c>
      <c r="O23" s="101">
        <v>66</v>
      </c>
      <c r="P23" s="102">
        <v>1055</v>
      </c>
      <c r="Q23" s="102">
        <v>1115</v>
      </c>
    </row>
    <row r="24" spans="1:17" ht="15" customHeight="1" x14ac:dyDescent="0.2">
      <c r="A24" s="10">
        <v>34</v>
      </c>
      <c r="B24" s="13">
        <v>1660</v>
      </c>
      <c r="C24" s="13">
        <v>108</v>
      </c>
      <c r="D24" s="13">
        <v>95</v>
      </c>
      <c r="E24" s="14">
        <v>1.7000000000000004</v>
      </c>
      <c r="F24" s="13">
        <v>89.013134000000008</v>
      </c>
      <c r="G24" s="14">
        <v>61.3</v>
      </c>
      <c r="H24" s="13">
        <v>400.71503500000006</v>
      </c>
      <c r="I24" s="13">
        <v>5151.7487280000005</v>
      </c>
      <c r="J24" s="14">
        <v>57.876276190882123</v>
      </c>
      <c r="K24" s="15">
        <v>2.3313188655190169</v>
      </c>
      <c r="L24" s="13">
        <v>134.92805454979262</v>
      </c>
      <c r="N24" s="101">
        <v>16</v>
      </c>
      <c r="O24" s="101">
        <v>69</v>
      </c>
      <c r="P24" s="102">
        <v>1125</v>
      </c>
      <c r="Q24" s="102">
        <v>1185</v>
      </c>
    </row>
    <row r="25" spans="1:17" ht="15" customHeight="1" x14ac:dyDescent="0.2">
      <c r="A25" s="10">
        <v>35</v>
      </c>
      <c r="B25" s="13">
        <v>1665</v>
      </c>
      <c r="C25" s="13">
        <v>108</v>
      </c>
      <c r="D25" s="13">
        <v>95</v>
      </c>
      <c r="E25" s="14">
        <v>1.8000000000000005</v>
      </c>
      <c r="F25" s="13">
        <v>95.543434000000005</v>
      </c>
      <c r="G25" s="14">
        <v>61.5</v>
      </c>
      <c r="H25" s="13">
        <v>401.61345</v>
      </c>
      <c r="I25" s="13">
        <v>5553.3621780000003</v>
      </c>
      <c r="J25" s="14">
        <v>58.123954158901178</v>
      </c>
      <c r="K25" s="15">
        <v>2.2964036184279282</v>
      </c>
      <c r="L25" s="13">
        <v>133.47605864783969</v>
      </c>
      <c r="N25" s="101">
        <v>17</v>
      </c>
      <c r="O25" s="101">
        <v>72</v>
      </c>
      <c r="P25" s="102">
        <v>1190</v>
      </c>
      <c r="Q25" s="102">
        <v>1255.45</v>
      </c>
    </row>
    <row r="26" spans="1:17" ht="15" customHeight="1" x14ac:dyDescent="0.2">
      <c r="A26" s="16">
        <v>36</v>
      </c>
      <c r="B26" s="17">
        <v>1669</v>
      </c>
      <c r="C26" s="17">
        <v>108</v>
      </c>
      <c r="D26" s="17">
        <v>95</v>
      </c>
      <c r="E26" s="18">
        <v>1.9000000000000006</v>
      </c>
      <c r="F26" s="17">
        <v>102.06708400000001</v>
      </c>
      <c r="G26" s="18">
        <v>61.699999999999996</v>
      </c>
      <c r="H26" s="17">
        <v>402.50920499999995</v>
      </c>
      <c r="I26" s="17">
        <v>5955.8713830000006</v>
      </c>
      <c r="J26" s="18">
        <v>58.352518261421089</v>
      </c>
      <c r="K26" s="19">
        <v>2.2657300892221097</v>
      </c>
      <c r="L26" s="17">
        <v>132.21105640678439</v>
      </c>
      <c r="N26" s="103">
        <v>18</v>
      </c>
      <c r="O26" s="103">
        <v>75</v>
      </c>
      <c r="P26" s="104">
        <v>1250</v>
      </c>
      <c r="Q26" s="104">
        <v>1320</v>
      </c>
    </row>
    <row r="27" spans="1:17" ht="15" customHeight="1" x14ac:dyDescent="0.2">
      <c r="A27" s="10">
        <v>37</v>
      </c>
      <c r="B27" s="13">
        <v>1673</v>
      </c>
      <c r="C27" s="13">
        <v>108</v>
      </c>
      <c r="D27" s="13">
        <v>95</v>
      </c>
      <c r="E27" s="14">
        <v>2.0000000000000004</v>
      </c>
      <c r="F27" s="13">
        <v>108.584084</v>
      </c>
      <c r="G27" s="14">
        <v>61.9</v>
      </c>
      <c r="H27" s="13">
        <v>403.40229999999997</v>
      </c>
      <c r="I27" s="13">
        <v>6359.2736830000003</v>
      </c>
      <c r="J27" s="14">
        <v>58.565431034994042</v>
      </c>
      <c r="K27" s="15">
        <v>2.2385067398584551</v>
      </c>
      <c r="L27" s="13">
        <v>131.0991120945497</v>
      </c>
    </row>
    <row r="28" spans="1:17" ht="15" customHeight="1" x14ac:dyDescent="0.2">
      <c r="A28" s="10">
        <v>38</v>
      </c>
      <c r="B28" s="13">
        <v>1677</v>
      </c>
      <c r="C28" s="13">
        <v>108</v>
      </c>
      <c r="D28" s="13">
        <v>94.9</v>
      </c>
      <c r="E28" s="14">
        <v>2.1000000000000005</v>
      </c>
      <c r="F28" s="13">
        <v>115.087581</v>
      </c>
      <c r="G28" s="14">
        <v>62</v>
      </c>
      <c r="H28" s="13">
        <v>403.216814</v>
      </c>
      <c r="I28" s="13">
        <v>6762.4904970000007</v>
      </c>
      <c r="J28" s="14">
        <v>58.759515477173863</v>
      </c>
      <c r="K28" s="15">
        <v>2.2144801544110768</v>
      </c>
      <c r="L28" s="13">
        <v>130.12178090701204</v>
      </c>
    </row>
    <row r="29" spans="1:17" ht="15" customHeight="1" x14ac:dyDescent="0.2">
      <c r="A29" s="10">
        <v>39</v>
      </c>
      <c r="B29" s="13">
        <v>1681</v>
      </c>
      <c r="C29" s="13">
        <v>108</v>
      </c>
      <c r="D29" s="13">
        <v>94.8</v>
      </c>
      <c r="E29" s="14">
        <v>2.2000000000000006</v>
      </c>
      <c r="F29" s="13">
        <v>121.577589</v>
      </c>
      <c r="G29" s="14">
        <v>62.1</v>
      </c>
      <c r="H29" s="13">
        <v>403.0294968</v>
      </c>
      <c r="I29" s="13">
        <v>7165.5199938000005</v>
      </c>
      <c r="J29" s="14">
        <v>58.937835934548765</v>
      </c>
      <c r="K29" s="15">
        <v>2.1931093645118955</v>
      </c>
      <c r="L29" s="13">
        <v>129.25711991212458</v>
      </c>
    </row>
    <row r="30" spans="1:17" ht="15" customHeight="1" x14ac:dyDescent="0.2">
      <c r="A30" s="16">
        <v>40</v>
      </c>
      <c r="B30" s="17">
        <v>1685</v>
      </c>
      <c r="C30" s="17">
        <v>108</v>
      </c>
      <c r="D30" s="17">
        <v>94.7</v>
      </c>
      <c r="E30" s="18">
        <v>2.3000000000000007</v>
      </c>
      <c r="F30" s="17">
        <v>128.05412200000001</v>
      </c>
      <c r="G30" s="18">
        <v>62.199999999999996</v>
      </c>
      <c r="H30" s="17">
        <v>402.84035259999996</v>
      </c>
      <c r="I30" s="17">
        <v>7568.3603464000007</v>
      </c>
      <c r="J30" s="18">
        <v>59.102824869628172</v>
      </c>
      <c r="K30" s="19">
        <v>2.1739690298739922</v>
      </c>
      <c r="L30" s="17">
        <v>128.48771084463803</v>
      </c>
    </row>
    <row r="31" spans="1:17" ht="15" customHeight="1" x14ac:dyDescent="0.2">
      <c r="A31" s="10">
        <v>41</v>
      </c>
      <c r="B31" s="13">
        <v>1685.5</v>
      </c>
      <c r="C31" s="13">
        <v>108</v>
      </c>
      <c r="D31" s="13">
        <v>94.6</v>
      </c>
      <c r="E31" s="14">
        <v>2.4000000000000008</v>
      </c>
      <c r="F31" s="13">
        <v>134.51719400000002</v>
      </c>
      <c r="G31" s="14">
        <v>62.3</v>
      </c>
      <c r="H31" s="13">
        <v>402.64938560000002</v>
      </c>
      <c r="I31" s="13">
        <v>7971.0097320000004</v>
      </c>
      <c r="J31" s="14">
        <v>59.256437745794784</v>
      </c>
      <c r="K31" s="15">
        <v>2.1567201117550963</v>
      </c>
      <c r="L31" s="13">
        <v>127.79955103731943</v>
      </c>
    </row>
    <row r="32" spans="1:17" ht="15" customHeight="1" x14ac:dyDescent="0.2">
      <c r="A32" s="10">
        <v>42</v>
      </c>
      <c r="B32" s="13">
        <v>1686</v>
      </c>
      <c r="C32" s="13">
        <v>108</v>
      </c>
      <c r="D32" s="13">
        <v>94.5</v>
      </c>
      <c r="E32" s="14">
        <v>2.5000000000000009</v>
      </c>
      <c r="F32" s="13">
        <v>140.96681900000002</v>
      </c>
      <c r="G32" s="14">
        <v>62.5</v>
      </c>
      <c r="H32" s="13">
        <v>403.1015625</v>
      </c>
      <c r="I32" s="13">
        <v>8374.1112945000004</v>
      </c>
      <c r="J32" s="14">
        <v>59.404839762327327</v>
      </c>
      <c r="K32" s="15">
        <v>2.1409241374395251</v>
      </c>
      <c r="L32" s="13">
        <v>127.18125532789385</v>
      </c>
    </row>
    <row r="33" spans="1:12" ht="15" customHeight="1" x14ac:dyDescent="0.2">
      <c r="A33" s="10">
        <v>43</v>
      </c>
      <c r="B33" s="13">
        <v>1686.5</v>
      </c>
      <c r="C33" s="13">
        <v>108</v>
      </c>
      <c r="D33" s="13">
        <v>94.4</v>
      </c>
      <c r="E33" s="14">
        <v>2.600000000000001</v>
      </c>
      <c r="F33" s="13">
        <v>147.40301100000002</v>
      </c>
      <c r="G33" s="14">
        <v>62.699999999999996</v>
      </c>
      <c r="H33" s="13">
        <v>403.54923840000004</v>
      </c>
      <c r="I33" s="13">
        <v>8777.6605329000013</v>
      </c>
      <c r="J33" s="14">
        <v>59.548719346716737</v>
      </c>
      <c r="K33" s="15">
        <v>2.1263844654326682</v>
      </c>
      <c r="L33" s="13">
        <v>126.62347175526827</v>
      </c>
    </row>
    <row r="34" spans="1:12" ht="15" customHeight="1" x14ac:dyDescent="0.2">
      <c r="A34" s="16">
        <v>44</v>
      </c>
      <c r="B34" s="17">
        <v>1687</v>
      </c>
      <c r="C34" s="17">
        <v>108</v>
      </c>
      <c r="D34" s="17">
        <v>94.300000000000011</v>
      </c>
      <c r="E34" s="18">
        <v>2.7000000000000011</v>
      </c>
      <c r="F34" s="17">
        <v>153.82578400000003</v>
      </c>
      <c r="G34" s="18">
        <v>62.9</v>
      </c>
      <c r="H34" s="17">
        <v>403.99242170000008</v>
      </c>
      <c r="I34" s="17">
        <v>9181.652954600002</v>
      </c>
      <c r="J34" s="18">
        <v>59.688647220546592</v>
      </c>
      <c r="K34" s="19">
        <v>2.1129386065806894</v>
      </c>
      <c r="L34" s="17">
        <v>126.11844708686807</v>
      </c>
    </row>
    <row r="35" spans="1:12" ht="15" customHeight="1" x14ac:dyDescent="0.2">
      <c r="A35" s="10">
        <v>45</v>
      </c>
      <c r="B35" s="13">
        <v>1687.5</v>
      </c>
      <c r="C35" s="13">
        <v>108</v>
      </c>
      <c r="D35" s="13">
        <v>94.100000000000009</v>
      </c>
      <c r="E35" s="14">
        <v>2.8000000000000012</v>
      </c>
      <c r="F35" s="13">
        <v>160.22834800000004</v>
      </c>
      <c r="G35" s="14">
        <v>63.1</v>
      </c>
      <c r="H35" s="13">
        <v>404.00178840000007</v>
      </c>
      <c r="I35" s="13">
        <v>9585.6547430000028</v>
      </c>
      <c r="J35" s="14">
        <v>59.82496145438634</v>
      </c>
      <c r="K35" s="15">
        <v>2.100545193817231</v>
      </c>
      <c r="L35" s="13">
        <v>125.66503525331231</v>
      </c>
    </row>
    <row r="36" spans="1:12" ht="15" customHeight="1" x14ac:dyDescent="0.2">
      <c r="A36" s="10">
        <v>46</v>
      </c>
      <c r="B36" s="13">
        <v>1688</v>
      </c>
      <c r="C36" s="13">
        <v>108</v>
      </c>
      <c r="D36" s="13">
        <v>93.9</v>
      </c>
      <c r="E36" s="14">
        <v>2.9000000000000012</v>
      </c>
      <c r="F36" s="13">
        <v>166.61073100000004</v>
      </c>
      <c r="G36" s="14">
        <v>63.199999999999996</v>
      </c>
      <c r="H36" s="13">
        <v>403.36660560000001</v>
      </c>
      <c r="I36" s="13">
        <v>9989.021348600003</v>
      </c>
      <c r="J36" s="14">
        <v>59.954249577117579</v>
      </c>
      <c r="K36" s="15">
        <v>2.0892113723357784</v>
      </c>
      <c r="L36" s="13">
        <v>125.25710003637157</v>
      </c>
    </row>
    <row r="37" spans="1:12" ht="15" customHeight="1" x14ac:dyDescent="0.2">
      <c r="A37" s="10">
        <v>47</v>
      </c>
      <c r="B37" s="13">
        <v>1688.5</v>
      </c>
      <c r="C37" s="13">
        <v>108</v>
      </c>
      <c r="D37" s="13">
        <v>93.7</v>
      </c>
      <c r="E37" s="14">
        <v>3.0000000000000013</v>
      </c>
      <c r="F37" s="13">
        <v>172.97296100000005</v>
      </c>
      <c r="G37" s="14">
        <v>63.3</v>
      </c>
      <c r="H37" s="13">
        <v>402.72915899999998</v>
      </c>
      <c r="I37" s="13">
        <v>10391.750507600003</v>
      </c>
      <c r="J37" s="14">
        <v>60.077311780538928</v>
      </c>
      <c r="K37" s="15">
        <v>2.0788121293136341</v>
      </c>
      <c r="L37" s="13">
        <v>124.88944442594119</v>
      </c>
    </row>
    <row r="38" spans="1:12" ht="15" customHeight="1" x14ac:dyDescent="0.2">
      <c r="A38" s="16">
        <v>48</v>
      </c>
      <c r="B38" s="17">
        <v>1689</v>
      </c>
      <c r="C38" s="17">
        <v>108</v>
      </c>
      <c r="D38" s="17">
        <v>93.5</v>
      </c>
      <c r="E38" s="18">
        <v>3.1000000000000014</v>
      </c>
      <c r="F38" s="17">
        <v>179.31506600000006</v>
      </c>
      <c r="G38" s="18">
        <v>63.4</v>
      </c>
      <c r="H38" s="17">
        <v>402.08945699999998</v>
      </c>
      <c r="I38" s="17">
        <v>10793.839964600003</v>
      </c>
      <c r="J38" s="18">
        <v>60.194830280462881</v>
      </c>
      <c r="K38" s="19">
        <v>2.0692414444952991</v>
      </c>
      <c r="L38" s="17">
        <v>124.55763756069437</v>
      </c>
    </row>
    <row r="39" spans="1:12" ht="15" customHeight="1" x14ac:dyDescent="0.2">
      <c r="A39" s="10">
        <v>49</v>
      </c>
      <c r="B39" s="13">
        <v>1689.5</v>
      </c>
      <c r="C39" s="13">
        <v>108</v>
      </c>
      <c r="D39" s="13">
        <v>93.2</v>
      </c>
      <c r="E39" s="14">
        <v>3.2000000000000015</v>
      </c>
      <c r="F39" s="13">
        <v>185.63029800000007</v>
      </c>
      <c r="G39" s="14">
        <v>63.6</v>
      </c>
      <c r="H39" s="13">
        <v>401.64875520000004</v>
      </c>
      <c r="I39" s="13">
        <v>11195.488719800003</v>
      </c>
      <c r="J39" s="14">
        <v>60.310675791728777</v>
      </c>
      <c r="K39" s="15">
        <v>2.0603717780720578</v>
      </c>
      <c r="L39" s="13">
        <v>124.26241431773164</v>
      </c>
    </row>
    <row r="40" spans="1:12" ht="15" customHeight="1" x14ac:dyDescent="0.2">
      <c r="A40" s="10">
        <v>50</v>
      </c>
      <c r="B40" s="13">
        <v>1690</v>
      </c>
      <c r="C40" s="13">
        <v>108</v>
      </c>
      <c r="D40" s="13">
        <v>92.9</v>
      </c>
      <c r="E40" s="14">
        <v>3.3000000000000016</v>
      </c>
      <c r="F40" s="13">
        <v>191.91869900000006</v>
      </c>
      <c r="G40" s="14">
        <v>63.699999999999996</v>
      </c>
      <c r="H40" s="13">
        <v>400.57114369999999</v>
      </c>
      <c r="I40" s="13">
        <v>11596.059863500002</v>
      </c>
      <c r="J40" s="14">
        <v>60.421730263500791</v>
      </c>
      <c r="K40" s="15">
        <v>2.0522419925501443</v>
      </c>
      <c r="L40" s="13">
        <v>124.00001210929422</v>
      </c>
    </row>
    <row r="41" spans="1:12" ht="15" customHeight="1" x14ac:dyDescent="0.2">
      <c r="A41" s="10">
        <v>51</v>
      </c>
      <c r="B41" s="13">
        <v>1690.5</v>
      </c>
      <c r="C41" s="13">
        <v>108</v>
      </c>
      <c r="D41" s="13">
        <v>92.600000000000009</v>
      </c>
      <c r="E41" s="14">
        <v>3.4000000000000017</v>
      </c>
      <c r="F41" s="13">
        <v>198.18031100000007</v>
      </c>
      <c r="G41" s="14">
        <v>63.8</v>
      </c>
      <c r="H41" s="13">
        <v>399.49084559999994</v>
      </c>
      <c r="I41" s="13">
        <v>11995.550709100002</v>
      </c>
      <c r="J41" s="14">
        <v>60.528468486962851</v>
      </c>
      <c r="K41" s="15">
        <v>2.0447762336907576</v>
      </c>
      <c r="L41" s="13">
        <v>123.7671738238416</v>
      </c>
    </row>
    <row r="42" spans="1:12" ht="15" customHeight="1" x14ac:dyDescent="0.2">
      <c r="A42" s="16">
        <v>52</v>
      </c>
      <c r="B42" s="17">
        <v>1691</v>
      </c>
      <c r="C42" s="17">
        <v>108</v>
      </c>
      <c r="D42" s="17">
        <v>92.300000000000011</v>
      </c>
      <c r="E42" s="18">
        <v>3.5000000000000018</v>
      </c>
      <c r="F42" s="17">
        <v>204.41517600000009</v>
      </c>
      <c r="G42" s="18">
        <v>63.9</v>
      </c>
      <c r="H42" s="17">
        <v>398.40787349999999</v>
      </c>
      <c r="I42" s="17">
        <v>12393.958582600002</v>
      </c>
      <c r="J42" s="18">
        <v>60.631303531984322</v>
      </c>
      <c r="K42" s="19">
        <v>2.0379087788351664</v>
      </c>
      <c r="L42" s="17">
        <v>123.56106574005047</v>
      </c>
    </row>
    <row r="43" spans="1:12" ht="15" customHeight="1" x14ac:dyDescent="0.2">
      <c r="A43" s="10">
        <v>53</v>
      </c>
      <c r="B43" s="13">
        <v>1691.5</v>
      </c>
      <c r="C43" s="13">
        <v>108</v>
      </c>
      <c r="D43" s="13">
        <v>92.000000000000014</v>
      </c>
      <c r="E43" s="14">
        <v>3.6000000000000019</v>
      </c>
      <c r="F43" s="13">
        <v>210.62333600000008</v>
      </c>
      <c r="G43" s="14">
        <v>64</v>
      </c>
      <c r="H43" s="13">
        <v>397.32224000000008</v>
      </c>
      <c r="I43" s="13">
        <v>12791.280822600002</v>
      </c>
      <c r="J43" s="14">
        <v>60.73059645489613</v>
      </c>
      <c r="K43" s="15">
        <v>2.0315824005744783</v>
      </c>
      <c r="L43" s="13">
        <v>123.37921093415778</v>
      </c>
    </row>
    <row r="44" spans="1:12" ht="15" customHeight="1" x14ac:dyDescent="0.2">
      <c r="A44" s="10">
        <v>54</v>
      </c>
      <c r="B44" s="13">
        <v>1692</v>
      </c>
      <c r="C44" s="13">
        <v>108</v>
      </c>
      <c r="D44" s="13">
        <v>91.700000000000017</v>
      </c>
      <c r="E44" s="14">
        <v>3.700000000000002</v>
      </c>
      <c r="F44" s="13">
        <v>216.80483300000009</v>
      </c>
      <c r="G44" s="14">
        <v>64.100000000000009</v>
      </c>
      <c r="H44" s="13">
        <v>396.23395770000013</v>
      </c>
      <c r="I44" s="13">
        <v>13187.514780300002</v>
      </c>
      <c r="J44" s="14">
        <v>60.826664229851353</v>
      </c>
      <c r="K44" s="15">
        <v>2.0257470376379945</v>
      </c>
      <c r="L44" s="13">
        <v>123.21943487302234</v>
      </c>
    </row>
    <row r="45" spans="1:12" ht="15" customHeight="1" x14ac:dyDescent="0.2">
      <c r="A45" s="10">
        <v>55</v>
      </c>
      <c r="B45" s="13">
        <v>1692.5</v>
      </c>
      <c r="C45" s="13">
        <v>108</v>
      </c>
      <c r="D45" s="13">
        <v>91.300000000000011</v>
      </c>
      <c r="E45" s="14">
        <v>3.800000000000002</v>
      </c>
      <c r="F45" s="13">
        <v>222.95297500000009</v>
      </c>
      <c r="G45" s="14">
        <v>64.2</v>
      </c>
      <c r="H45" s="13">
        <v>394.71071640000008</v>
      </c>
      <c r="I45" s="13">
        <v>13582.225496700003</v>
      </c>
      <c r="J45" s="14">
        <v>60.919687197266583</v>
      </c>
      <c r="K45" s="15">
        <v>2.0204230158501923</v>
      </c>
      <c r="L45" s="13">
        <v>123.08353813175171</v>
      </c>
    </row>
    <row r="46" spans="1:12" ht="15" customHeight="1" x14ac:dyDescent="0.2">
      <c r="A46" s="16">
        <v>56</v>
      </c>
      <c r="B46" s="17">
        <v>1693</v>
      </c>
      <c r="C46" s="17">
        <v>108</v>
      </c>
      <c r="D46" s="17">
        <v>90.9</v>
      </c>
      <c r="E46" s="18">
        <v>3.9000000000000021</v>
      </c>
      <c r="F46" s="17">
        <v>229.0678180000001</v>
      </c>
      <c r="G46" s="18">
        <v>64.3</v>
      </c>
      <c r="H46" s="17">
        <v>393.1844049</v>
      </c>
      <c r="I46" s="17">
        <v>13975.409901600002</v>
      </c>
      <c r="J46" s="18">
        <v>61.009922841278367</v>
      </c>
      <c r="K46" s="19">
        <v>2.0155657113695882</v>
      </c>
      <c r="L46" s="17">
        <v>122.96950853218493</v>
      </c>
    </row>
    <row r="47" spans="1:12" ht="15" customHeight="1" x14ac:dyDescent="0.2">
      <c r="A47" s="10">
        <v>57</v>
      </c>
      <c r="B47" s="13">
        <v>1693.5</v>
      </c>
      <c r="C47" s="13">
        <v>108</v>
      </c>
      <c r="D47" s="13">
        <v>90.5</v>
      </c>
      <c r="E47" s="14">
        <v>4.0000000000000018</v>
      </c>
      <c r="F47" s="13">
        <v>235.14941800000011</v>
      </c>
      <c r="G47" s="14">
        <v>64.400000000000006</v>
      </c>
      <c r="H47" s="13">
        <v>391.65503999999999</v>
      </c>
      <c r="I47" s="13">
        <v>14367.064941600001</v>
      </c>
      <c r="J47" s="14">
        <v>61.0975994063485</v>
      </c>
      <c r="K47" s="15">
        <v>2.0111356855036373</v>
      </c>
      <c r="L47" s="13">
        <v>122.87556246471331</v>
      </c>
    </row>
    <row r="48" spans="1:12" ht="15" customHeight="1" x14ac:dyDescent="0.2">
      <c r="A48" s="10">
        <v>58</v>
      </c>
      <c r="B48" s="13">
        <v>1694</v>
      </c>
      <c r="C48" s="13">
        <v>108</v>
      </c>
      <c r="D48" s="13">
        <v>90.1</v>
      </c>
      <c r="E48" s="14">
        <v>4.1000000000000014</v>
      </c>
      <c r="F48" s="13">
        <v>241.19783100000012</v>
      </c>
      <c r="G48" s="14">
        <v>64.5</v>
      </c>
      <c r="H48" s="13">
        <v>390.12263849999999</v>
      </c>
      <c r="I48" s="13">
        <v>14757.187580100002</v>
      </c>
      <c r="J48" s="14">
        <v>61.182919924764974</v>
      </c>
      <c r="K48" s="15">
        <v>2.0070979540804399</v>
      </c>
      <c r="L48" s="13">
        <v>122.80011340566317</v>
      </c>
    </row>
    <row r="49" spans="1:12" ht="15" customHeight="1" x14ac:dyDescent="0.2">
      <c r="A49" s="10">
        <v>59</v>
      </c>
      <c r="B49" s="13">
        <v>1694.5</v>
      </c>
      <c r="C49" s="13">
        <v>108</v>
      </c>
      <c r="D49" s="13">
        <v>89.699999999999989</v>
      </c>
      <c r="E49" s="14">
        <v>4.2000000000000011</v>
      </c>
      <c r="F49" s="13">
        <v>247.21311300000013</v>
      </c>
      <c r="G49" s="14">
        <v>64.600000000000009</v>
      </c>
      <c r="H49" s="13">
        <v>388.5872172</v>
      </c>
      <c r="I49" s="13">
        <v>15145.774797300002</v>
      </c>
      <c r="J49" s="14">
        <v>61.266065596204818</v>
      </c>
      <c r="K49" s="15">
        <v>2.0034213769908442</v>
      </c>
      <c r="L49" s="13">
        <v>122.74174549956004</v>
      </c>
    </row>
    <row r="50" spans="1:12" ht="15" customHeight="1" x14ac:dyDescent="0.2">
      <c r="A50" s="16">
        <v>60</v>
      </c>
      <c r="B50" s="17">
        <v>1695</v>
      </c>
      <c r="C50" s="17">
        <v>108</v>
      </c>
      <c r="D50" s="17">
        <v>89.299999999999983</v>
      </c>
      <c r="E50" s="18">
        <v>4.3000000000000007</v>
      </c>
      <c r="F50" s="17">
        <v>253.19532000000012</v>
      </c>
      <c r="G50" s="18">
        <v>64.7</v>
      </c>
      <c r="H50" s="17">
        <v>387.04879290000002</v>
      </c>
      <c r="I50" s="17">
        <v>15532.823590200001</v>
      </c>
      <c r="J50" s="18">
        <v>61.347198637794705</v>
      </c>
      <c r="K50" s="19">
        <v>2.000078145457131</v>
      </c>
      <c r="L50" s="17">
        <v>122.69919128047066</v>
      </c>
    </row>
    <row r="51" spans="1:12" ht="15" customHeight="1" x14ac:dyDescent="0.2">
      <c r="A51" s="10">
        <v>61</v>
      </c>
      <c r="B51" s="13">
        <v>1696</v>
      </c>
      <c r="C51" s="13">
        <v>108</v>
      </c>
      <c r="D51" s="13">
        <v>88.799999999999983</v>
      </c>
      <c r="E51" s="14">
        <v>4.4000000000000004</v>
      </c>
      <c r="F51" s="13">
        <v>259.1378160000001</v>
      </c>
      <c r="G51" s="14">
        <v>64.800000000000011</v>
      </c>
      <c r="H51" s="13">
        <v>385.07374079999994</v>
      </c>
      <c r="I51" s="13">
        <v>15917.897331000002</v>
      </c>
      <c r="J51" s="14">
        <v>61.426377580491746</v>
      </c>
      <c r="K51" s="15">
        <v>1.997097753488456</v>
      </c>
      <c r="L51" s="13">
        <v>122.67448067093373</v>
      </c>
    </row>
    <row r="52" spans="1:12" ht="15" customHeight="1" x14ac:dyDescent="0.2">
      <c r="A52" s="10">
        <v>62</v>
      </c>
      <c r="B52" s="13">
        <v>1697</v>
      </c>
      <c r="C52" s="13">
        <v>108</v>
      </c>
      <c r="D52" s="13">
        <v>88.299999999999983</v>
      </c>
      <c r="E52" s="14">
        <v>4.5</v>
      </c>
      <c r="F52" s="13">
        <v>265.04067100000009</v>
      </c>
      <c r="G52" s="14">
        <v>64.900000000000006</v>
      </c>
      <c r="H52" s="13">
        <v>383.09528949999998</v>
      </c>
      <c r="I52" s="13">
        <v>16300.992620500001</v>
      </c>
      <c r="J52" s="14">
        <v>61.503740384433286</v>
      </c>
      <c r="K52" s="15">
        <v>1.9944538198927646</v>
      </c>
      <c r="L52" s="13">
        <v>122.66636994742585</v>
      </c>
    </row>
    <row r="53" spans="1:12" ht="15" customHeight="1" x14ac:dyDescent="0.2">
      <c r="A53" s="10">
        <v>63</v>
      </c>
      <c r="B53" s="13">
        <v>1698</v>
      </c>
      <c r="C53" s="13">
        <v>108</v>
      </c>
      <c r="D53" s="13">
        <v>87.799999999999983</v>
      </c>
      <c r="E53" s="14">
        <v>4.5999999999999996</v>
      </c>
      <c r="F53" s="13">
        <v>270.90395500000011</v>
      </c>
      <c r="G53" s="14">
        <v>65</v>
      </c>
      <c r="H53" s="13">
        <v>381.11345999999998</v>
      </c>
      <c r="I53" s="13">
        <v>16682.106080500002</v>
      </c>
      <c r="J53" s="14">
        <v>61.579411347095302</v>
      </c>
      <c r="K53" s="15">
        <v>1.9921226276606874</v>
      </c>
      <c r="L53" s="13">
        <v>122.67373874257383</v>
      </c>
    </row>
    <row r="54" spans="1:12" ht="15" customHeight="1" x14ac:dyDescent="0.2">
      <c r="A54" s="16">
        <v>64</v>
      </c>
      <c r="B54" s="17">
        <v>1699</v>
      </c>
      <c r="C54" s="17">
        <v>108</v>
      </c>
      <c r="D54" s="17">
        <v>87.299999999999983</v>
      </c>
      <c r="E54" s="18">
        <v>4.6999999999999993</v>
      </c>
      <c r="F54" s="17">
        <v>276.7277380000001</v>
      </c>
      <c r="G54" s="18">
        <v>65.100000000000009</v>
      </c>
      <c r="H54" s="17">
        <v>379.12827329999999</v>
      </c>
      <c r="I54" s="17">
        <v>17061.234353800002</v>
      </c>
      <c r="J54" s="18">
        <v>61.653502742829474</v>
      </c>
      <c r="K54" s="19">
        <v>1.9900827979915576</v>
      </c>
      <c r="L54" s="17">
        <v>122.69557524443024</v>
      </c>
    </row>
    <row r="55" spans="1:12" ht="15" customHeight="1" x14ac:dyDescent="0.2">
      <c r="A55" s="10">
        <v>65</v>
      </c>
      <c r="B55" s="13">
        <v>1700</v>
      </c>
      <c r="C55" s="13">
        <v>108</v>
      </c>
      <c r="D55" s="13">
        <v>86.799999999999983</v>
      </c>
      <c r="E55" s="14">
        <v>4.7999999999999989</v>
      </c>
      <c r="F55" s="13">
        <v>282.51209000000011</v>
      </c>
      <c r="G55" s="14">
        <v>65.2</v>
      </c>
      <c r="H55" s="13">
        <v>377.13975039999997</v>
      </c>
      <c r="I55" s="13">
        <v>17438.374104200004</v>
      </c>
      <c r="J55" s="14">
        <v>61.726116231698249</v>
      </c>
      <c r="K55" s="15">
        <v>1.9883150110679793</v>
      </c>
      <c r="L55" s="13">
        <v>122.73096347841248</v>
      </c>
    </row>
    <row r="56" spans="1:12" ht="15" customHeight="1" x14ac:dyDescent="0.2">
      <c r="A56" s="10">
        <v>66</v>
      </c>
      <c r="B56" s="13">
        <v>1701</v>
      </c>
      <c r="C56" s="13">
        <v>108</v>
      </c>
      <c r="D56" s="13">
        <v>86.199999999999989</v>
      </c>
      <c r="E56" s="14">
        <v>4.8999999999999986</v>
      </c>
      <c r="F56" s="13">
        <v>288.25042400000012</v>
      </c>
      <c r="G56" s="14">
        <v>65.2</v>
      </c>
      <c r="H56" s="13">
        <v>374.13937679999998</v>
      </c>
      <c r="I56" s="13">
        <v>17812.513481000005</v>
      </c>
      <c r="J56" s="14">
        <v>61.795272436442275</v>
      </c>
      <c r="K56" s="15">
        <v>1.9869142576510244</v>
      </c>
      <c r="L56" s="13">
        <v>122.78190785939651</v>
      </c>
    </row>
    <row r="57" spans="1:12" ht="15" customHeight="1" x14ac:dyDescent="0.2">
      <c r="A57" s="10">
        <v>67</v>
      </c>
      <c r="B57" s="13">
        <v>1702</v>
      </c>
      <c r="C57" s="13">
        <v>108</v>
      </c>
      <c r="D57" s="13">
        <v>85.6</v>
      </c>
      <c r="E57" s="14">
        <v>4.9999999999999982</v>
      </c>
      <c r="F57" s="13">
        <v>293.94282400000014</v>
      </c>
      <c r="G57" s="14">
        <v>65.300000000000011</v>
      </c>
      <c r="H57" s="13">
        <v>371.71372000000002</v>
      </c>
      <c r="I57" s="13">
        <v>18184.227201000005</v>
      </c>
      <c r="J57" s="14">
        <v>61.863143837115736</v>
      </c>
      <c r="K57" s="15">
        <v>1.9857944250726356</v>
      </c>
      <c r="L57" s="13">
        <v>122.84748614921101</v>
      </c>
    </row>
    <row r="58" spans="1:12" ht="15" customHeight="1" x14ac:dyDescent="0.2">
      <c r="A58" s="16">
        <v>68</v>
      </c>
      <c r="B58" s="17">
        <v>1703</v>
      </c>
      <c r="C58" s="17">
        <v>108</v>
      </c>
      <c r="D58" s="17">
        <v>85</v>
      </c>
      <c r="E58" s="18">
        <v>5.0999999999999979</v>
      </c>
      <c r="F58" s="17">
        <v>299.58937400000013</v>
      </c>
      <c r="G58" s="18">
        <v>65.300000000000011</v>
      </c>
      <c r="H58" s="17">
        <v>368.71971500000006</v>
      </c>
      <c r="I58" s="17">
        <v>18552.946916000004</v>
      </c>
      <c r="J58" s="18">
        <v>61.927920434187349</v>
      </c>
      <c r="K58" s="19">
        <v>1.9849989959406393</v>
      </c>
      <c r="L58" s="17">
        <v>122.9268598825537</v>
      </c>
    </row>
    <row r="59" spans="1:12" ht="15" customHeight="1" x14ac:dyDescent="0.2">
      <c r="A59" s="10">
        <v>69</v>
      </c>
      <c r="B59" s="13">
        <v>1704</v>
      </c>
      <c r="C59" s="13">
        <v>108</v>
      </c>
      <c r="D59" s="13">
        <v>84.4</v>
      </c>
      <c r="E59" s="14">
        <v>5.1999999999999975</v>
      </c>
      <c r="F59" s="13">
        <v>305.19015800000011</v>
      </c>
      <c r="G59" s="14">
        <v>65.400000000000006</v>
      </c>
      <c r="H59" s="13">
        <v>366.29127360000001</v>
      </c>
      <c r="I59" s="13">
        <v>18919.238189600004</v>
      </c>
      <c r="J59" s="14">
        <v>61.9916392900193</v>
      </c>
      <c r="K59" s="15">
        <v>1.9844493009574908</v>
      </c>
      <c r="L59" s="13">
        <v>123.01926525428772</v>
      </c>
    </row>
    <row r="60" spans="1:12" ht="15" customHeight="1" x14ac:dyDescent="0.2">
      <c r="A60" s="10">
        <v>70</v>
      </c>
      <c r="B60" s="13">
        <v>1705</v>
      </c>
      <c r="C60" s="13">
        <v>108</v>
      </c>
      <c r="D60" s="13">
        <v>83.800000000000011</v>
      </c>
      <c r="E60" s="14">
        <v>5.2999999999999972</v>
      </c>
      <c r="F60" s="13">
        <v>310.74526000000009</v>
      </c>
      <c r="G60" s="14">
        <v>65.400000000000006</v>
      </c>
      <c r="H60" s="13">
        <v>363.30367080000008</v>
      </c>
      <c r="I60" s="13">
        <v>19282.541860400004</v>
      </c>
      <c r="J60" s="14">
        <v>62.052569556169573</v>
      </c>
      <c r="K60" s="15">
        <v>1.9841886654255816</v>
      </c>
      <c r="L60" s="13">
        <v>123.12400517388417</v>
      </c>
    </row>
    <row r="61" spans="1:12" ht="15" customHeight="1" x14ac:dyDescent="0.2">
      <c r="A61" s="10">
        <v>71</v>
      </c>
      <c r="B61" s="13">
        <v>1706</v>
      </c>
      <c r="C61" s="13">
        <v>108</v>
      </c>
      <c r="D61" s="13">
        <v>83.200000000000017</v>
      </c>
      <c r="E61" s="14">
        <v>5.3999999999999968</v>
      </c>
      <c r="F61" s="13">
        <v>316.25476400000008</v>
      </c>
      <c r="G61" s="14">
        <v>65.5</v>
      </c>
      <c r="H61" s="13">
        <v>360.87251200000003</v>
      </c>
      <c r="I61" s="13">
        <v>19643.414372400006</v>
      </c>
      <c r="J61" s="14">
        <v>62.112627566299686</v>
      </c>
      <c r="K61" s="15">
        <v>1.9841447245934176</v>
      </c>
      <c r="L61" s="13">
        <v>123.24044231630921</v>
      </c>
    </row>
    <row r="62" spans="1:12" ht="15" customHeight="1" x14ac:dyDescent="0.2">
      <c r="A62" s="16">
        <v>72</v>
      </c>
      <c r="B62" s="17">
        <v>1707</v>
      </c>
      <c r="C62" s="17">
        <v>108</v>
      </c>
      <c r="D62" s="17">
        <v>82.600000000000023</v>
      </c>
      <c r="E62" s="18">
        <v>5.4999999999999964</v>
      </c>
      <c r="F62" s="17">
        <v>321.7187540000001</v>
      </c>
      <c r="G62" s="18">
        <v>65.5</v>
      </c>
      <c r="H62" s="17">
        <v>357.89134500000011</v>
      </c>
      <c r="I62" s="17">
        <v>20001.305717400006</v>
      </c>
      <c r="J62" s="18">
        <v>62.17015784351819</v>
      </c>
      <c r="K62" s="19">
        <v>1.9843602993114651</v>
      </c>
      <c r="L62" s="17">
        <v>123.36799302660478</v>
      </c>
    </row>
    <row r="63" spans="1:12" ht="15" customHeight="1" x14ac:dyDescent="0.2">
      <c r="A63" s="10">
        <v>73</v>
      </c>
      <c r="B63" s="13">
        <v>1708</v>
      </c>
      <c r="C63" s="13">
        <v>108</v>
      </c>
      <c r="D63" s="13">
        <v>82.000000000000028</v>
      </c>
      <c r="E63" s="14">
        <v>5.5999999999999961</v>
      </c>
      <c r="F63" s="13">
        <v>327.13731400000012</v>
      </c>
      <c r="G63" s="14">
        <v>65.600000000000009</v>
      </c>
      <c r="H63" s="13">
        <v>355.45753600000018</v>
      </c>
      <c r="I63" s="13">
        <v>20356.763253400008</v>
      </c>
      <c r="J63" s="14">
        <v>62.226968255293556</v>
      </c>
      <c r="K63" s="15">
        <v>1.9847684279204731</v>
      </c>
      <c r="L63" s="13">
        <v>123.50612195831617</v>
      </c>
    </row>
    <row r="64" spans="1:12" ht="15" customHeight="1" x14ac:dyDescent="0.2">
      <c r="A64" s="10">
        <v>74</v>
      </c>
      <c r="B64" s="13">
        <v>1709</v>
      </c>
      <c r="C64" s="13">
        <v>108</v>
      </c>
      <c r="D64" s="13">
        <v>81.400000000000034</v>
      </c>
      <c r="E64" s="14">
        <v>5.6999999999999957</v>
      </c>
      <c r="F64" s="13">
        <v>332.51052800000014</v>
      </c>
      <c r="G64" s="14">
        <v>65.600000000000009</v>
      </c>
      <c r="H64" s="13">
        <v>352.48283840000028</v>
      </c>
      <c r="I64" s="13">
        <v>20709.246091800007</v>
      </c>
      <c r="J64" s="14">
        <v>62.281474864459021</v>
      </c>
      <c r="K64" s="15">
        <v>1.9854111935190315</v>
      </c>
      <c r="L64" s="13">
        <v>123.65433734477115</v>
      </c>
    </row>
    <row r="65" spans="1:12" ht="15" customHeight="1" x14ac:dyDescent="0.2">
      <c r="A65" s="10">
        <v>75</v>
      </c>
      <c r="B65" s="13">
        <v>1710</v>
      </c>
      <c r="C65" s="13">
        <v>108</v>
      </c>
      <c r="D65" s="13">
        <v>80.80000000000004</v>
      </c>
      <c r="E65" s="14">
        <v>5.7999999999999954</v>
      </c>
      <c r="F65" s="13">
        <v>337.83848000000012</v>
      </c>
      <c r="G65" s="14">
        <v>65.7</v>
      </c>
      <c r="H65" s="13">
        <v>350.04644640000026</v>
      </c>
      <c r="I65" s="13">
        <v>21059.292538200007</v>
      </c>
      <c r="J65" s="14">
        <v>62.335387425967582</v>
      </c>
      <c r="K65" s="15">
        <v>1.9862263143040602</v>
      </c>
      <c r="L65" s="13">
        <v>123.81218681779524</v>
      </c>
    </row>
    <row r="66" spans="1:12" ht="15" customHeight="1" x14ac:dyDescent="0.2">
      <c r="A66" s="16">
        <v>76</v>
      </c>
      <c r="B66" s="17">
        <v>1711</v>
      </c>
      <c r="C66" s="17">
        <v>108</v>
      </c>
      <c r="D66" s="17">
        <v>80.200000000000045</v>
      </c>
      <c r="E66" s="18">
        <v>5.899999999999995</v>
      </c>
      <c r="F66" s="17">
        <v>343.12125400000014</v>
      </c>
      <c r="G66" s="18">
        <v>65.7</v>
      </c>
      <c r="H66" s="17">
        <v>347.07825180000026</v>
      </c>
      <c r="I66" s="17">
        <v>21406.370790000008</v>
      </c>
      <c r="J66" s="18">
        <v>62.38718977752395</v>
      </c>
      <c r="K66" s="19">
        <v>1.9872549820482661</v>
      </c>
      <c r="L66" s="17">
        <v>123.97925370137513</v>
      </c>
    </row>
    <row r="67" spans="1:12" ht="15" customHeight="1" x14ac:dyDescent="0.2">
      <c r="A67" s="10">
        <v>77</v>
      </c>
      <c r="B67" s="13">
        <v>1712</v>
      </c>
      <c r="C67" s="13">
        <v>108</v>
      </c>
      <c r="D67" s="13">
        <v>79.600000000000051</v>
      </c>
      <c r="E67" s="14">
        <v>5.9999999999999947</v>
      </c>
      <c r="F67" s="13">
        <v>348.35893400000015</v>
      </c>
      <c r="G67" s="14">
        <v>65.800000000000011</v>
      </c>
      <c r="H67" s="13">
        <v>344.63934400000022</v>
      </c>
      <c r="I67" s="13">
        <v>21751.010134000007</v>
      </c>
      <c r="J67" s="14">
        <v>62.438502392477751</v>
      </c>
      <c r="K67" s="15">
        <v>1.9884390073632972</v>
      </c>
      <c r="L67" s="13">
        <v>124.15515371854931</v>
      </c>
    </row>
    <row r="68" spans="1:12" ht="15" customHeight="1" x14ac:dyDescent="0.2">
      <c r="A68" s="10">
        <v>78</v>
      </c>
      <c r="B68" s="13">
        <v>1713</v>
      </c>
      <c r="C68" s="13">
        <v>108</v>
      </c>
      <c r="D68" s="13">
        <v>79.000000000000057</v>
      </c>
      <c r="E68" s="14">
        <v>6.0999999999999943</v>
      </c>
      <c r="F68" s="13">
        <v>353.55160400000017</v>
      </c>
      <c r="G68" s="14">
        <v>65.800000000000011</v>
      </c>
      <c r="H68" s="13">
        <v>341.67768600000028</v>
      </c>
      <c r="I68" s="13">
        <v>22092.687820000006</v>
      </c>
      <c r="J68" s="14">
        <v>62.487873255413078</v>
      </c>
      <c r="K68" s="15">
        <v>1.9898185932905641</v>
      </c>
      <c r="L68" s="13">
        <v>124.33953205880512</v>
      </c>
    </row>
    <row r="69" spans="1:12" ht="15" customHeight="1" x14ac:dyDescent="0.2">
      <c r="A69" s="10">
        <v>79</v>
      </c>
      <c r="B69" s="13">
        <v>1714</v>
      </c>
      <c r="C69" s="13">
        <v>108</v>
      </c>
      <c r="D69" s="13">
        <v>78.400000000000063</v>
      </c>
      <c r="E69" s="14">
        <v>6.199999999999994</v>
      </c>
      <c r="F69" s="13">
        <v>358.69934800000016</v>
      </c>
      <c r="G69" s="14">
        <v>65.900000000000006</v>
      </c>
      <c r="H69" s="13">
        <v>339.23632960000026</v>
      </c>
      <c r="I69" s="13">
        <v>22431.924149600007</v>
      </c>
      <c r="J69" s="14">
        <v>62.536841158685341</v>
      </c>
      <c r="K69" s="15">
        <v>1.9913391603009905</v>
      </c>
      <c r="L69" s="13">
        <v>124.5320607608129</v>
      </c>
    </row>
    <row r="70" spans="1:12" ht="15" customHeight="1" x14ac:dyDescent="0.2">
      <c r="A70" s="16">
        <v>80</v>
      </c>
      <c r="B70" s="17">
        <v>1715</v>
      </c>
      <c r="C70" s="17">
        <v>108</v>
      </c>
      <c r="D70" s="17">
        <v>77.800000000000068</v>
      </c>
      <c r="E70" s="18">
        <v>6.2999999999999936</v>
      </c>
      <c r="F70" s="17">
        <v>363.80225000000019</v>
      </c>
      <c r="G70" s="18">
        <v>65.900000000000006</v>
      </c>
      <c r="H70" s="17">
        <v>336.28124180000032</v>
      </c>
      <c r="I70" s="17">
        <v>22768.205391400006</v>
      </c>
      <c r="J70" s="18">
        <v>62.58401478110703</v>
      </c>
      <c r="K70" s="19">
        <v>1.9930398650189673</v>
      </c>
      <c r="L70" s="17">
        <v>124.73243637168261</v>
      </c>
    </row>
    <row r="71" spans="1:12" ht="15" customHeight="1" x14ac:dyDescent="0.2">
      <c r="A71" s="10">
        <v>81</v>
      </c>
      <c r="B71" s="13">
        <v>1715</v>
      </c>
      <c r="C71" s="13">
        <v>108</v>
      </c>
      <c r="D71" s="13">
        <v>77.100000000000065</v>
      </c>
      <c r="E71" s="14">
        <v>6.3999999999999932</v>
      </c>
      <c r="F71" s="13">
        <v>368.85384200000021</v>
      </c>
      <c r="G71" s="14">
        <v>66</v>
      </c>
      <c r="H71" s="13">
        <v>333.4050720000003</v>
      </c>
      <c r="I71" s="13">
        <v>23101.610463400008</v>
      </c>
      <c r="J71" s="14">
        <v>62.630797982578677</v>
      </c>
      <c r="K71" s="15">
        <v>1.9949066786063925</v>
      </c>
      <c r="L71" s="13">
        <v>124.94259718189397</v>
      </c>
    </row>
    <row r="72" spans="1:12" ht="15" customHeight="1" x14ac:dyDescent="0.2">
      <c r="A72" s="10">
        <v>82</v>
      </c>
      <c r="B72" s="13">
        <v>1715</v>
      </c>
      <c r="C72" s="13">
        <v>108</v>
      </c>
      <c r="D72" s="13">
        <v>76.400000000000063</v>
      </c>
      <c r="E72" s="14">
        <v>6.4999999999999929</v>
      </c>
      <c r="F72" s="13">
        <v>373.85422200000022</v>
      </c>
      <c r="G72" s="14">
        <v>66</v>
      </c>
      <c r="H72" s="13">
        <v>330.02508000000029</v>
      </c>
      <c r="I72" s="13">
        <v>23431.635543400007</v>
      </c>
      <c r="J72" s="14">
        <v>62.675861778551727</v>
      </c>
      <c r="K72" s="15">
        <v>1.9969761356748323</v>
      </c>
      <c r="L72" s="13">
        <v>125.16220025462215</v>
      </c>
    </row>
    <row r="73" spans="1:12" ht="15" customHeight="1" x14ac:dyDescent="0.2">
      <c r="A73" s="10">
        <v>83</v>
      </c>
      <c r="B73" s="13">
        <v>1715</v>
      </c>
      <c r="C73" s="13">
        <v>108</v>
      </c>
      <c r="D73" s="13">
        <v>75.70000000000006</v>
      </c>
      <c r="E73" s="14">
        <v>6.5999999999999925</v>
      </c>
      <c r="F73" s="13">
        <v>378.80348800000024</v>
      </c>
      <c r="G73" s="14">
        <v>66.099999999999994</v>
      </c>
      <c r="H73" s="13">
        <v>327.14648260000024</v>
      </c>
      <c r="I73" s="13">
        <v>23758.782026000008</v>
      </c>
      <c r="J73" s="14">
        <v>62.72059993808714</v>
      </c>
      <c r="K73" s="15">
        <v>1.9991984836605183</v>
      </c>
      <c r="L73" s="13">
        <v>125.3909282905018</v>
      </c>
    </row>
    <row r="74" spans="1:12" ht="15" customHeight="1" x14ac:dyDescent="0.2">
      <c r="A74" s="16">
        <v>84</v>
      </c>
      <c r="B74" s="17">
        <v>1715</v>
      </c>
      <c r="C74" s="17">
        <v>108</v>
      </c>
      <c r="D74" s="17">
        <v>75.000000000000057</v>
      </c>
      <c r="E74" s="18">
        <v>6.6999999999999922</v>
      </c>
      <c r="F74" s="17">
        <v>383.70173800000026</v>
      </c>
      <c r="G74" s="18">
        <v>66.099999999999994</v>
      </c>
      <c r="H74" s="17">
        <v>323.77432500000026</v>
      </c>
      <c r="I74" s="17">
        <v>24082.556351000007</v>
      </c>
      <c r="J74" s="18">
        <v>62.76374059843323</v>
      </c>
      <c r="K74" s="19">
        <v>2.0016093099683898</v>
      </c>
      <c r="L74" s="17">
        <v>125.62848751026496</v>
      </c>
    </row>
    <row r="75" spans="1:12" ht="15" customHeight="1" x14ac:dyDescent="0.2">
      <c r="A75" s="10">
        <v>85</v>
      </c>
      <c r="B75" s="13">
        <v>1715</v>
      </c>
      <c r="C75" s="13">
        <v>108</v>
      </c>
      <c r="D75" s="13">
        <v>74.300000000000054</v>
      </c>
      <c r="E75" s="14">
        <v>6.7999999999999918</v>
      </c>
      <c r="F75" s="13">
        <v>388.54907000000026</v>
      </c>
      <c r="G75" s="14">
        <v>66.199999999999989</v>
      </c>
      <c r="H75" s="13">
        <v>320.89337840000019</v>
      </c>
      <c r="I75" s="13">
        <v>24403.449729400007</v>
      </c>
      <c r="J75" s="14">
        <v>62.806609547154473</v>
      </c>
      <c r="K75" s="15">
        <v>2.0041617698450893</v>
      </c>
      <c r="L75" s="13">
        <v>125.87460574799459</v>
      </c>
    </row>
    <row r="76" spans="1:12" ht="15" customHeight="1" x14ac:dyDescent="0.2">
      <c r="A76" s="10">
        <v>86</v>
      </c>
      <c r="B76" s="13">
        <v>1715</v>
      </c>
      <c r="C76" s="13">
        <v>108</v>
      </c>
      <c r="D76" s="13">
        <v>73.600000000000051</v>
      </c>
      <c r="E76" s="14">
        <v>6.8999999999999915</v>
      </c>
      <c r="F76" s="13">
        <v>393.34558200000026</v>
      </c>
      <c r="G76" s="14">
        <v>66.199999999999989</v>
      </c>
      <c r="H76" s="13">
        <v>317.52909440000019</v>
      </c>
      <c r="I76" s="13">
        <v>24720.978823800007</v>
      </c>
      <c r="J76" s="14">
        <v>62.847989033216066</v>
      </c>
      <c r="K76" s="15">
        <v>2.0068904776632865</v>
      </c>
      <c r="L76" s="13">
        <v>126.12903073104799</v>
      </c>
    </row>
    <row r="77" spans="1:12" ht="15" customHeight="1" x14ac:dyDescent="0.2">
      <c r="A77" s="10">
        <v>87</v>
      </c>
      <c r="B77" s="13">
        <v>1715</v>
      </c>
      <c r="C77" s="13">
        <v>108</v>
      </c>
      <c r="D77" s="13">
        <v>72.900000000000048</v>
      </c>
      <c r="E77" s="14">
        <v>6.9999999999999911</v>
      </c>
      <c r="F77" s="13">
        <v>398.09137200000026</v>
      </c>
      <c r="G77" s="14">
        <v>66.299999999999983</v>
      </c>
      <c r="H77" s="13">
        <v>314.64587700000016</v>
      </c>
      <c r="I77" s="13">
        <v>25035.624700800006</v>
      </c>
      <c r="J77" s="14">
        <v>62.889141693832016</v>
      </c>
      <c r="K77" s="15">
        <v>2.0097512085804743</v>
      </c>
      <c r="L77" s="13">
        <v>126.3915285257676</v>
      </c>
    </row>
    <row r="78" spans="1:12" ht="15" customHeight="1" x14ac:dyDescent="0.2">
      <c r="A78" s="16">
        <v>88</v>
      </c>
      <c r="B78" s="17">
        <v>1715</v>
      </c>
      <c r="C78" s="17">
        <v>108</v>
      </c>
      <c r="D78" s="17">
        <v>72.200000000000045</v>
      </c>
      <c r="E78" s="18">
        <v>7.0999999999999908</v>
      </c>
      <c r="F78" s="17">
        <v>402.78653800000029</v>
      </c>
      <c r="G78" s="18">
        <v>66.299999999999983</v>
      </c>
      <c r="H78" s="17">
        <v>311.2895058000002</v>
      </c>
      <c r="I78" s="17">
        <v>25346.914206600006</v>
      </c>
      <c r="J78" s="18">
        <v>62.928901081098168</v>
      </c>
      <c r="K78" s="19">
        <v>2.0127775943122752</v>
      </c>
      <c r="L78" s="17">
        <v>126.6618821307279</v>
      </c>
    </row>
    <row r="79" spans="1:12" ht="15" customHeight="1" x14ac:dyDescent="0.2">
      <c r="A79" s="10">
        <v>89</v>
      </c>
      <c r="B79" s="13">
        <v>1715</v>
      </c>
      <c r="C79" s="13">
        <v>108</v>
      </c>
      <c r="D79" s="13">
        <v>71.500000000000043</v>
      </c>
      <c r="E79" s="14">
        <v>7.1999999999999904</v>
      </c>
      <c r="F79" s="13">
        <v>407.43117800000027</v>
      </c>
      <c r="G79" s="14">
        <v>66.399999999999977</v>
      </c>
      <c r="H79" s="13">
        <v>308.4040960000001</v>
      </c>
      <c r="I79" s="13">
        <v>25655.318302600004</v>
      </c>
      <c r="J79" s="14">
        <v>62.968470966156616</v>
      </c>
      <c r="K79" s="15">
        <v>2.0159277850299979</v>
      </c>
      <c r="L79" s="13">
        <v>126.93989020152983</v>
      </c>
    </row>
    <row r="80" spans="1:12" ht="15" customHeight="1" x14ac:dyDescent="0.2">
      <c r="A80" s="20">
        <v>90</v>
      </c>
      <c r="B80" s="21">
        <v>1715</v>
      </c>
      <c r="C80" s="21">
        <v>108</v>
      </c>
      <c r="D80" s="21">
        <v>70.80000000000004</v>
      </c>
      <c r="E80" s="22">
        <v>7.2999999999999901</v>
      </c>
      <c r="F80" s="21">
        <v>412.0253900000003</v>
      </c>
      <c r="G80" s="22">
        <v>66.399999999999977</v>
      </c>
      <c r="H80" s="21">
        <v>305.05567680000013</v>
      </c>
      <c r="I80" s="21">
        <v>25960.373979400003</v>
      </c>
      <c r="J80" s="22">
        <v>63.006733588432461</v>
      </c>
      <c r="K80" s="23">
        <v>2.0192344317380102</v>
      </c>
      <c r="L80" s="21">
        <v>127.22536589310661</v>
      </c>
    </row>
    <row r="81" spans="1:12" x14ac:dyDescent="0.2">
      <c r="A81" s="543" t="s">
        <v>169</v>
      </c>
      <c r="B81" s="543"/>
      <c r="C81" s="543"/>
      <c r="D81" s="543"/>
      <c r="E81" s="543"/>
      <c r="F81" s="543"/>
      <c r="G81" s="543"/>
      <c r="H81" s="543"/>
      <c r="I81" s="543"/>
      <c r="J81" s="543"/>
      <c r="K81" s="543"/>
      <c r="L81" s="543"/>
    </row>
    <row r="82" spans="1:12" x14ac:dyDescent="0.2">
      <c r="A82" s="543" t="s">
        <v>170</v>
      </c>
      <c r="B82" s="543"/>
      <c r="C82" s="543"/>
      <c r="D82" s="543"/>
      <c r="E82" s="543"/>
      <c r="F82" s="543"/>
      <c r="G82" s="543"/>
      <c r="H82" s="543"/>
      <c r="I82" s="543"/>
      <c r="J82" s="543"/>
      <c r="K82" s="543"/>
      <c r="L82" s="543"/>
    </row>
    <row r="83" spans="1:12" x14ac:dyDescent="0.2">
      <c r="A83" s="543" t="s">
        <v>171</v>
      </c>
      <c r="B83" s="543"/>
      <c r="C83" s="543"/>
      <c r="D83" s="543"/>
      <c r="E83" s="543"/>
      <c r="F83" s="543"/>
      <c r="G83" s="543"/>
      <c r="H83" s="543"/>
      <c r="I83" s="543"/>
      <c r="J83" s="543"/>
      <c r="K83" s="543"/>
      <c r="L83" s="543"/>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Q83"/>
  <sheetViews>
    <sheetView topLeftCell="A54" workbookViewId="0">
      <selection activeCell="J73" sqref="J7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2" t="s">
        <v>256</v>
      </c>
      <c r="B1" s="542"/>
      <c r="C1" s="542"/>
      <c r="D1" s="542"/>
      <c r="E1" s="542"/>
      <c r="F1" s="542"/>
      <c r="G1" s="542"/>
      <c r="H1" s="542"/>
      <c r="I1" s="542"/>
      <c r="J1" s="542"/>
      <c r="K1" s="542"/>
      <c r="L1" s="542"/>
      <c r="N1" s="542" t="s">
        <v>260</v>
      </c>
      <c r="O1" s="542"/>
      <c r="P1" s="542"/>
      <c r="Q1" s="542"/>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0" t="s">
        <v>89</v>
      </c>
      <c r="Q6" s="541"/>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1230</v>
      </c>
      <c r="C8" s="12">
        <v>78</v>
      </c>
      <c r="D8" s="12">
        <v>0</v>
      </c>
      <c r="E8" s="12">
        <v>0.1</v>
      </c>
      <c r="F8" s="12">
        <v>0</v>
      </c>
      <c r="G8" s="12">
        <v>0</v>
      </c>
      <c r="H8" s="12">
        <v>0</v>
      </c>
      <c r="I8" s="12">
        <v>0</v>
      </c>
      <c r="J8" s="12">
        <v>0</v>
      </c>
      <c r="K8" s="12">
        <v>0</v>
      </c>
      <c r="L8" s="12">
        <v>0</v>
      </c>
      <c r="N8" s="100">
        <v>0</v>
      </c>
      <c r="O8" s="101"/>
      <c r="P8" s="102">
        <v>32</v>
      </c>
      <c r="Q8" s="102">
        <v>35</v>
      </c>
    </row>
    <row r="9" spans="1:17" ht="15" customHeight="1" x14ac:dyDescent="0.2">
      <c r="A9" s="10">
        <v>19</v>
      </c>
      <c r="B9" s="13">
        <v>1290</v>
      </c>
      <c r="C9" s="13">
        <v>83</v>
      </c>
      <c r="D9" s="13">
        <v>3</v>
      </c>
      <c r="E9" s="14">
        <v>0.2</v>
      </c>
      <c r="F9" s="13">
        <v>0.20957999999999999</v>
      </c>
      <c r="G9" s="14">
        <v>42</v>
      </c>
      <c r="H9" s="13">
        <v>8.8023600000000002</v>
      </c>
      <c r="I9" s="13">
        <v>8.8023600000000002</v>
      </c>
      <c r="J9" s="14">
        <v>42</v>
      </c>
      <c r="K9" s="15">
        <v>127.83980659732161</v>
      </c>
      <c r="L9" s="13">
        <v>5369.2718770875081</v>
      </c>
      <c r="N9" s="101">
        <v>1</v>
      </c>
      <c r="O9" s="101">
        <v>10</v>
      </c>
      <c r="P9" s="102">
        <v>70</v>
      </c>
      <c r="Q9" s="102">
        <v>75</v>
      </c>
    </row>
    <row r="10" spans="1:17" ht="15" customHeight="1" x14ac:dyDescent="0.2">
      <c r="A10" s="16">
        <v>20</v>
      </c>
      <c r="B10" s="17">
        <v>1335</v>
      </c>
      <c r="C10" s="17">
        <v>88</v>
      </c>
      <c r="D10" s="17">
        <v>25</v>
      </c>
      <c r="E10" s="18">
        <v>0.30000000000000004</v>
      </c>
      <c r="F10" s="17">
        <v>1.9543300000000001</v>
      </c>
      <c r="G10" s="18">
        <v>47.5</v>
      </c>
      <c r="H10" s="17">
        <v>82.875624999999999</v>
      </c>
      <c r="I10" s="17">
        <v>91.677985000000007</v>
      </c>
      <c r="J10" s="18">
        <v>46.910186611268315</v>
      </c>
      <c r="K10" s="19">
        <v>18.97341002859083</v>
      </c>
      <c r="L10" s="17">
        <v>890.0462050933055</v>
      </c>
      <c r="N10" s="101">
        <v>2</v>
      </c>
      <c r="O10" s="101">
        <v>15</v>
      </c>
      <c r="P10" s="102">
        <v>125</v>
      </c>
      <c r="Q10" s="102">
        <v>130</v>
      </c>
    </row>
    <row r="11" spans="1:17" ht="15" customHeight="1" x14ac:dyDescent="0.2">
      <c r="A11" s="10">
        <v>21</v>
      </c>
      <c r="B11" s="13">
        <v>1375</v>
      </c>
      <c r="C11" s="13">
        <v>94</v>
      </c>
      <c r="D11" s="13">
        <v>60</v>
      </c>
      <c r="E11" s="14">
        <v>0.4</v>
      </c>
      <c r="F11" s="13">
        <v>6.1375299999999999</v>
      </c>
      <c r="G11" s="14">
        <v>50</v>
      </c>
      <c r="H11" s="13">
        <v>209.16000000000003</v>
      </c>
      <c r="I11" s="13">
        <v>300.837985</v>
      </c>
      <c r="J11" s="14">
        <v>49.016132711367604</v>
      </c>
      <c r="K11" s="15">
        <v>7.9604708162102593</v>
      </c>
      <c r="L11" s="13">
        <v>390.19149397233087</v>
      </c>
      <c r="N11" s="101">
        <v>3</v>
      </c>
      <c r="O11" s="101">
        <v>22</v>
      </c>
      <c r="P11" s="102">
        <v>190</v>
      </c>
      <c r="Q11" s="102">
        <v>200.45</v>
      </c>
    </row>
    <row r="12" spans="1:17" ht="15" customHeight="1" x14ac:dyDescent="0.2">
      <c r="A12" s="10">
        <v>22</v>
      </c>
      <c r="B12" s="13">
        <v>1420</v>
      </c>
      <c r="C12" s="13">
        <v>98</v>
      </c>
      <c r="D12" s="13">
        <v>82</v>
      </c>
      <c r="E12" s="14">
        <v>0.5</v>
      </c>
      <c r="F12" s="13">
        <v>11.84883</v>
      </c>
      <c r="G12" s="14">
        <v>51.599999999999994</v>
      </c>
      <c r="H12" s="13">
        <v>294.70308</v>
      </c>
      <c r="I12" s="13">
        <v>595.541065</v>
      </c>
      <c r="J12" s="14">
        <v>50.261592494786406</v>
      </c>
      <c r="K12" s="15">
        <v>5.1673716236511753</v>
      </c>
      <c r="L12" s="13">
        <v>259.72032681707816</v>
      </c>
      <c r="N12" s="101">
        <v>4</v>
      </c>
      <c r="O12" s="101">
        <v>31</v>
      </c>
      <c r="P12" s="102">
        <v>270</v>
      </c>
      <c r="Q12" s="102">
        <v>284.85000000000002</v>
      </c>
    </row>
    <row r="13" spans="1:17" ht="15" customHeight="1" x14ac:dyDescent="0.2">
      <c r="A13" s="10">
        <v>23</v>
      </c>
      <c r="B13" s="13">
        <v>1455</v>
      </c>
      <c r="C13" s="13">
        <v>102</v>
      </c>
      <c r="D13" s="13">
        <v>90</v>
      </c>
      <c r="E13" s="14">
        <v>0.6</v>
      </c>
      <c r="F13" s="13">
        <v>18.11103</v>
      </c>
      <c r="G13" s="14">
        <v>53.099999999999994</v>
      </c>
      <c r="H13" s="13">
        <v>332.52281999999997</v>
      </c>
      <c r="I13" s="13">
        <v>928.06388500000003</v>
      </c>
      <c r="J13" s="14">
        <v>51.243020689601863</v>
      </c>
      <c r="K13" s="15">
        <v>4.0806436509486623</v>
      </c>
      <c r="L13" s="13">
        <v>209.10450703245482</v>
      </c>
      <c r="N13" s="101">
        <v>5</v>
      </c>
      <c r="O13" s="101">
        <v>35</v>
      </c>
      <c r="P13" s="102">
        <v>345</v>
      </c>
      <c r="Q13" s="102">
        <v>365</v>
      </c>
    </row>
    <row r="14" spans="1:17" ht="15" customHeight="1" x14ac:dyDescent="0.2">
      <c r="A14" s="16">
        <v>24</v>
      </c>
      <c r="B14" s="17">
        <v>1485</v>
      </c>
      <c r="C14" s="17">
        <v>103.5</v>
      </c>
      <c r="D14" s="17">
        <v>92</v>
      </c>
      <c r="E14" s="18">
        <v>0.7</v>
      </c>
      <c r="F14" s="17">
        <v>24.505949999999999</v>
      </c>
      <c r="G14" s="18">
        <v>54.199999999999996</v>
      </c>
      <c r="H14" s="17">
        <v>346.6046639999999</v>
      </c>
      <c r="I14" s="17">
        <v>1274.668549</v>
      </c>
      <c r="J14" s="18">
        <v>52.014655583643972</v>
      </c>
      <c r="K14" s="19">
        <v>3.5354496692771229</v>
      </c>
      <c r="L14" s="17">
        <v>183.89519688075754</v>
      </c>
      <c r="N14" s="101">
        <v>6</v>
      </c>
      <c r="O14" s="101">
        <v>41</v>
      </c>
      <c r="P14" s="102">
        <v>425</v>
      </c>
      <c r="Q14" s="102">
        <v>450</v>
      </c>
    </row>
    <row r="15" spans="1:17" ht="15" customHeight="1" x14ac:dyDescent="0.2">
      <c r="A15" s="10">
        <v>25</v>
      </c>
      <c r="B15" s="13">
        <v>1510</v>
      </c>
      <c r="C15" s="13">
        <v>105</v>
      </c>
      <c r="D15" s="13">
        <v>93</v>
      </c>
      <c r="E15" s="14">
        <v>0.79999999999999993</v>
      </c>
      <c r="F15" s="13">
        <v>30.96387</v>
      </c>
      <c r="G15" s="14">
        <v>55.4</v>
      </c>
      <c r="H15" s="13">
        <v>357.76876800000002</v>
      </c>
      <c r="I15" s="13">
        <v>1632.4373169999999</v>
      </c>
      <c r="J15" s="14">
        <v>52.720713431492896</v>
      </c>
      <c r="K15" s="15">
        <v>3.2072572989337025</v>
      </c>
      <c r="L15" s="13">
        <v>169.08889295814768</v>
      </c>
      <c r="N15" s="101">
        <v>7</v>
      </c>
      <c r="O15" s="101">
        <v>45</v>
      </c>
      <c r="P15" s="102">
        <v>500</v>
      </c>
      <c r="Q15" s="102">
        <v>530</v>
      </c>
    </row>
    <row r="16" spans="1:17" ht="15" customHeight="1" x14ac:dyDescent="0.2">
      <c r="A16" s="10">
        <v>26</v>
      </c>
      <c r="B16" s="13">
        <v>1535</v>
      </c>
      <c r="C16" s="13">
        <v>106</v>
      </c>
      <c r="D16" s="13">
        <v>94</v>
      </c>
      <c r="E16" s="14">
        <v>0.89999999999999991</v>
      </c>
      <c r="F16" s="13">
        <v>37.484650000000002</v>
      </c>
      <c r="G16" s="14">
        <v>56.3</v>
      </c>
      <c r="H16" s="13">
        <v>367.11991399999994</v>
      </c>
      <c r="I16" s="13">
        <v>1999.5572309999998</v>
      </c>
      <c r="J16" s="14">
        <v>53.343361375923202</v>
      </c>
      <c r="K16" s="15">
        <v>2.9861453362922026</v>
      </c>
      <c r="L16" s="13">
        <v>159.29102979486268</v>
      </c>
      <c r="N16" s="101">
        <v>8</v>
      </c>
      <c r="O16" s="101">
        <v>48</v>
      </c>
      <c r="P16" s="102">
        <v>575</v>
      </c>
      <c r="Q16" s="102">
        <v>605</v>
      </c>
    </row>
    <row r="17" spans="1:17" ht="15" customHeight="1" x14ac:dyDescent="0.2">
      <c r="A17" s="10">
        <v>27</v>
      </c>
      <c r="B17" s="13">
        <v>1560</v>
      </c>
      <c r="C17" s="13">
        <v>106</v>
      </c>
      <c r="D17" s="13">
        <v>94.5</v>
      </c>
      <c r="E17" s="14">
        <v>0.99999999999999989</v>
      </c>
      <c r="F17" s="13">
        <v>44.033500000000004</v>
      </c>
      <c r="G17" s="14">
        <v>57</v>
      </c>
      <c r="H17" s="13">
        <v>373.28444999999994</v>
      </c>
      <c r="I17" s="13">
        <v>2372.8416809999999</v>
      </c>
      <c r="J17" s="14">
        <v>53.887192274064056</v>
      </c>
      <c r="K17" s="15">
        <v>2.8259569754245226</v>
      </c>
      <c r="L17" s="13">
        <v>152.28288689293376</v>
      </c>
      <c r="N17" s="101">
        <v>9</v>
      </c>
      <c r="O17" s="101">
        <v>51</v>
      </c>
      <c r="P17" s="102">
        <v>650</v>
      </c>
      <c r="Q17" s="102">
        <v>685</v>
      </c>
    </row>
    <row r="18" spans="1:17" ht="15" customHeight="1" x14ac:dyDescent="0.2">
      <c r="A18" s="16">
        <v>28</v>
      </c>
      <c r="B18" s="17">
        <v>1575</v>
      </c>
      <c r="C18" s="17">
        <v>106</v>
      </c>
      <c r="D18" s="17">
        <v>94.8</v>
      </c>
      <c r="E18" s="18">
        <v>1.0999999999999999</v>
      </c>
      <c r="F18" s="17">
        <v>50.596504000000003</v>
      </c>
      <c r="G18" s="18">
        <v>57.599999999999994</v>
      </c>
      <c r="H18" s="17">
        <v>378.02903039999995</v>
      </c>
      <c r="I18" s="17">
        <v>2750.8707113999999</v>
      </c>
      <c r="J18" s="18">
        <v>54.368790211276249</v>
      </c>
      <c r="K18" s="19">
        <v>2.7043751889793013</v>
      </c>
      <c r="L18" s="17">
        <v>147.0336073021962</v>
      </c>
      <c r="N18" s="101">
        <v>10</v>
      </c>
      <c r="O18" s="101">
        <v>53</v>
      </c>
      <c r="P18" s="102">
        <v>720</v>
      </c>
      <c r="Q18" s="102">
        <v>759.875</v>
      </c>
    </row>
    <row r="19" spans="1:17" ht="15" customHeight="1" x14ac:dyDescent="0.2">
      <c r="A19" s="10">
        <v>29</v>
      </c>
      <c r="B19" s="13">
        <v>1585</v>
      </c>
      <c r="C19" s="13">
        <v>106</v>
      </c>
      <c r="D19" s="13">
        <v>95</v>
      </c>
      <c r="E19" s="14">
        <v>1.2</v>
      </c>
      <c r="F19" s="13">
        <v>57.166704000000003</v>
      </c>
      <c r="G19" s="14">
        <v>58.099999999999994</v>
      </c>
      <c r="H19" s="13">
        <v>381.72861999999998</v>
      </c>
      <c r="I19" s="13">
        <v>3132.5993313999998</v>
      </c>
      <c r="J19" s="14">
        <v>54.797620156656215</v>
      </c>
      <c r="K19" s="15">
        <v>2.6088502343986679</v>
      </c>
      <c r="L19" s="13">
        <v>142.95878419018175</v>
      </c>
      <c r="N19" s="101">
        <v>11</v>
      </c>
      <c r="O19" s="101">
        <v>55</v>
      </c>
      <c r="P19" s="102">
        <v>790</v>
      </c>
      <c r="Q19" s="102">
        <v>835</v>
      </c>
    </row>
    <row r="20" spans="1:17" ht="15" customHeight="1" x14ac:dyDescent="0.2">
      <c r="A20" s="10">
        <v>30</v>
      </c>
      <c r="B20" s="13">
        <v>1595</v>
      </c>
      <c r="C20" s="13">
        <v>106</v>
      </c>
      <c r="D20" s="13">
        <v>95</v>
      </c>
      <c r="E20" s="14">
        <v>1.3</v>
      </c>
      <c r="F20" s="13">
        <v>63.730254000000002</v>
      </c>
      <c r="G20" s="14">
        <v>58.599999999999994</v>
      </c>
      <c r="H20" s="13">
        <v>384.62402999999995</v>
      </c>
      <c r="I20" s="13">
        <v>3517.2233613999997</v>
      </c>
      <c r="J20" s="14">
        <v>55.18922553486135</v>
      </c>
      <c r="K20" s="15">
        <v>2.5317802098458451</v>
      </c>
      <c r="L20" s="13">
        <v>139.72698900588094</v>
      </c>
      <c r="N20" s="101">
        <v>12</v>
      </c>
      <c r="O20" s="101">
        <v>57</v>
      </c>
      <c r="P20" s="102">
        <v>855</v>
      </c>
      <c r="Q20" s="102">
        <v>905</v>
      </c>
    </row>
    <row r="21" spans="1:17" ht="15" customHeight="1" x14ac:dyDescent="0.2">
      <c r="A21" s="10">
        <v>31</v>
      </c>
      <c r="B21" s="13">
        <v>1597</v>
      </c>
      <c r="C21" s="13">
        <v>106</v>
      </c>
      <c r="D21" s="13">
        <v>95</v>
      </c>
      <c r="E21" s="14">
        <v>1.4000000000000001</v>
      </c>
      <c r="F21" s="13">
        <v>70.287154000000001</v>
      </c>
      <c r="G21" s="14">
        <v>59</v>
      </c>
      <c r="H21" s="13">
        <v>386.8571</v>
      </c>
      <c r="I21" s="13">
        <v>3904.0804613999999</v>
      </c>
      <c r="J21" s="14">
        <v>55.544722459526525</v>
      </c>
      <c r="K21" s="15">
        <v>2.4683017154170988</v>
      </c>
      <c r="L21" s="13">
        <v>137.101133729216</v>
      </c>
      <c r="N21" s="101">
        <v>13</v>
      </c>
      <c r="O21" s="101">
        <v>60</v>
      </c>
      <c r="P21" s="102">
        <v>920</v>
      </c>
      <c r="Q21" s="102">
        <v>970</v>
      </c>
    </row>
    <row r="22" spans="1:17" ht="15" customHeight="1" x14ac:dyDescent="0.2">
      <c r="A22" s="16">
        <v>32</v>
      </c>
      <c r="B22" s="17">
        <v>1600</v>
      </c>
      <c r="C22" s="17">
        <v>106</v>
      </c>
      <c r="D22" s="17">
        <v>95</v>
      </c>
      <c r="E22" s="18">
        <v>1.5000000000000002</v>
      </c>
      <c r="F22" s="17">
        <v>76.837404000000006</v>
      </c>
      <c r="G22" s="18">
        <v>59.4</v>
      </c>
      <c r="H22" s="17">
        <v>389.08485000000002</v>
      </c>
      <c r="I22" s="17">
        <v>4293.1653114000001</v>
      </c>
      <c r="J22" s="18">
        <v>55.873377911101727</v>
      </c>
      <c r="K22" s="19">
        <v>2.4148426040038089</v>
      </c>
      <c r="L22" s="17">
        <v>134.9254134093338</v>
      </c>
      <c r="N22" s="101">
        <v>14</v>
      </c>
      <c r="O22" s="101">
        <v>63</v>
      </c>
      <c r="P22" s="102">
        <v>980</v>
      </c>
      <c r="Q22" s="102">
        <v>1035</v>
      </c>
    </row>
    <row r="23" spans="1:17" ht="15" customHeight="1" x14ac:dyDescent="0.2">
      <c r="A23" s="10">
        <v>33</v>
      </c>
      <c r="B23" s="13">
        <v>1605</v>
      </c>
      <c r="C23" s="13">
        <v>106</v>
      </c>
      <c r="D23" s="13">
        <v>95</v>
      </c>
      <c r="E23" s="14">
        <v>1.6000000000000003</v>
      </c>
      <c r="F23" s="13">
        <v>83.381004000000004</v>
      </c>
      <c r="G23" s="14">
        <v>59.699999999999996</v>
      </c>
      <c r="H23" s="13">
        <v>390.65291999999999</v>
      </c>
      <c r="I23" s="13">
        <v>4683.8182314000005</v>
      </c>
      <c r="J23" s="14">
        <v>56.173684732795977</v>
      </c>
      <c r="K23" s="15">
        <v>2.3693162184654115</v>
      </c>
      <c r="L23" s="13">
        <v>133.09322228837638</v>
      </c>
      <c r="N23" s="101">
        <v>15</v>
      </c>
      <c r="O23" s="101">
        <v>66</v>
      </c>
      <c r="P23" s="102">
        <v>1045</v>
      </c>
      <c r="Q23" s="102">
        <v>1105</v>
      </c>
    </row>
    <row r="24" spans="1:17" ht="15" customHeight="1" x14ac:dyDescent="0.2">
      <c r="A24" s="10">
        <v>34</v>
      </c>
      <c r="B24" s="13">
        <v>1610</v>
      </c>
      <c r="C24" s="13">
        <v>106</v>
      </c>
      <c r="D24" s="13">
        <v>95</v>
      </c>
      <c r="E24" s="14">
        <v>1.7000000000000004</v>
      </c>
      <c r="F24" s="13">
        <v>89.917954000000009</v>
      </c>
      <c r="G24" s="14">
        <v>59.9</v>
      </c>
      <c r="H24" s="13">
        <v>391.56330500000007</v>
      </c>
      <c r="I24" s="13">
        <v>5075.3815364000002</v>
      </c>
      <c r="J24" s="14">
        <v>56.444584319612076</v>
      </c>
      <c r="K24" s="15">
        <v>2.3302351587125893</v>
      </c>
      <c r="L24" s="13">
        <v>131.52915490047738</v>
      </c>
      <c r="N24" s="101">
        <v>16</v>
      </c>
      <c r="O24" s="101">
        <v>69</v>
      </c>
      <c r="P24" s="102">
        <v>1110</v>
      </c>
      <c r="Q24" s="102">
        <v>1170</v>
      </c>
    </row>
    <row r="25" spans="1:17" ht="15" customHeight="1" x14ac:dyDescent="0.2">
      <c r="A25" s="10">
        <v>35</v>
      </c>
      <c r="B25" s="13">
        <v>1615</v>
      </c>
      <c r="C25" s="13">
        <v>106</v>
      </c>
      <c r="D25" s="13">
        <v>94.9</v>
      </c>
      <c r="E25" s="14">
        <v>1.8000000000000005</v>
      </c>
      <c r="F25" s="13">
        <v>96.441380000000009</v>
      </c>
      <c r="G25" s="14">
        <v>60.099999999999994</v>
      </c>
      <c r="H25" s="13">
        <v>392.05790259999998</v>
      </c>
      <c r="I25" s="13">
        <v>5467.4394389999998</v>
      </c>
      <c r="J25" s="14">
        <v>56.691841603676757</v>
      </c>
      <c r="K25" s="15">
        <v>2.2964088839174064</v>
      </c>
      <c r="L25" s="13">
        <v>130.18764870432173</v>
      </c>
      <c r="N25" s="101">
        <v>17</v>
      </c>
      <c r="O25" s="101">
        <v>72</v>
      </c>
      <c r="P25" s="102">
        <v>1170</v>
      </c>
      <c r="Q25" s="102">
        <v>1235.4499999999998</v>
      </c>
    </row>
    <row r="26" spans="1:17" ht="15" customHeight="1" x14ac:dyDescent="0.2">
      <c r="A26" s="16">
        <v>36</v>
      </c>
      <c r="B26" s="17">
        <v>1619</v>
      </c>
      <c r="C26" s="17">
        <v>106</v>
      </c>
      <c r="D26" s="17">
        <v>94.800000000000011</v>
      </c>
      <c r="E26" s="18">
        <v>1.9000000000000006</v>
      </c>
      <c r="F26" s="17">
        <v>102.95129600000001</v>
      </c>
      <c r="G26" s="18">
        <v>60.3</v>
      </c>
      <c r="H26" s="17">
        <v>392.54793480000001</v>
      </c>
      <c r="I26" s="17">
        <v>5859.9873737999997</v>
      </c>
      <c r="J26" s="18">
        <v>56.919996167896699</v>
      </c>
      <c r="K26" s="19">
        <v>2.2667930240583756</v>
      </c>
      <c r="L26" s="17">
        <v>129.02585024281771</v>
      </c>
      <c r="N26" s="103">
        <v>18</v>
      </c>
      <c r="O26" s="103">
        <v>75</v>
      </c>
      <c r="P26" s="104">
        <v>1230</v>
      </c>
      <c r="Q26" s="104">
        <v>1300</v>
      </c>
    </row>
    <row r="27" spans="1:17" ht="15" customHeight="1" x14ac:dyDescent="0.2">
      <c r="A27" s="10">
        <v>37</v>
      </c>
      <c r="B27" s="13">
        <v>1623</v>
      </c>
      <c r="C27" s="13">
        <v>106</v>
      </c>
      <c r="D27" s="13">
        <v>94.700000000000017</v>
      </c>
      <c r="E27" s="14">
        <v>2.0000000000000004</v>
      </c>
      <c r="F27" s="13">
        <v>109.44771600000001</v>
      </c>
      <c r="G27" s="14">
        <v>60.5</v>
      </c>
      <c r="H27" s="13">
        <v>393.03341</v>
      </c>
      <c r="I27" s="13">
        <v>6253.0207837999997</v>
      </c>
      <c r="J27" s="14">
        <v>57.132492228526715</v>
      </c>
      <c r="K27" s="15">
        <v>2.2406032195347523</v>
      </c>
      <c r="L27" s="13">
        <v>128.01124602728117</v>
      </c>
    </row>
    <row r="28" spans="1:17" ht="15" customHeight="1" x14ac:dyDescent="0.2">
      <c r="A28" s="10">
        <v>38</v>
      </c>
      <c r="B28" s="13">
        <v>1627</v>
      </c>
      <c r="C28" s="13">
        <v>106</v>
      </c>
      <c r="D28" s="13">
        <v>94.600000000000023</v>
      </c>
      <c r="E28" s="14">
        <v>2.1000000000000005</v>
      </c>
      <c r="F28" s="13">
        <v>115.93065400000002</v>
      </c>
      <c r="G28" s="14">
        <v>60.599999999999994</v>
      </c>
      <c r="H28" s="13">
        <v>392.86604280000006</v>
      </c>
      <c r="I28" s="13">
        <v>6645.8868265999999</v>
      </c>
      <c r="J28" s="14">
        <v>57.326398129350665</v>
      </c>
      <c r="K28" s="15">
        <v>2.2174552297543935</v>
      </c>
      <c r="L28" s="13">
        <v>127.11872133491111</v>
      </c>
    </row>
    <row r="29" spans="1:17" ht="15" customHeight="1" x14ac:dyDescent="0.2">
      <c r="A29" s="10">
        <v>39</v>
      </c>
      <c r="B29" s="13">
        <v>1631</v>
      </c>
      <c r="C29" s="13">
        <v>106</v>
      </c>
      <c r="D29" s="13">
        <v>94.500000000000028</v>
      </c>
      <c r="E29" s="14">
        <v>2.2000000000000006</v>
      </c>
      <c r="F29" s="13">
        <v>122.40012400000002</v>
      </c>
      <c r="G29" s="14">
        <v>60.699999999999996</v>
      </c>
      <c r="H29" s="13">
        <v>392.69682900000004</v>
      </c>
      <c r="I29" s="13">
        <v>7038.5836556000004</v>
      </c>
      <c r="J29" s="14">
        <v>57.504710171698839</v>
      </c>
      <c r="K29" s="15">
        <v>2.1968386335364078</v>
      </c>
      <c r="L29" s="13">
        <v>126.32856891550206</v>
      </c>
    </row>
    <row r="30" spans="1:17" ht="15" customHeight="1" x14ac:dyDescent="0.2">
      <c r="A30" s="16">
        <v>40</v>
      </c>
      <c r="B30" s="17">
        <v>1635</v>
      </c>
      <c r="C30" s="17">
        <v>106</v>
      </c>
      <c r="D30" s="17">
        <v>94.400000000000034</v>
      </c>
      <c r="E30" s="18">
        <v>2.3000000000000007</v>
      </c>
      <c r="F30" s="17">
        <v>128.85614000000001</v>
      </c>
      <c r="G30" s="18">
        <v>60.8</v>
      </c>
      <c r="H30" s="17">
        <v>392.52577280000014</v>
      </c>
      <c r="I30" s="17">
        <v>7431.109428400001</v>
      </c>
      <c r="J30" s="18">
        <v>57.669812462176814</v>
      </c>
      <c r="K30" s="19">
        <v>2.1783512483526111</v>
      </c>
      <c r="L30" s="17">
        <v>125.62510796924383</v>
      </c>
    </row>
    <row r="31" spans="1:17" ht="15" customHeight="1" x14ac:dyDescent="0.2">
      <c r="A31" s="10">
        <v>41</v>
      </c>
      <c r="B31" s="13">
        <v>1635.5</v>
      </c>
      <c r="C31" s="13">
        <v>106</v>
      </c>
      <c r="D31" s="13">
        <v>94.30000000000004</v>
      </c>
      <c r="E31" s="14">
        <v>2.4000000000000008</v>
      </c>
      <c r="F31" s="13">
        <v>135.29871600000001</v>
      </c>
      <c r="G31" s="14">
        <v>60.9</v>
      </c>
      <c r="H31" s="13">
        <v>392.35287840000012</v>
      </c>
      <c r="I31" s="13">
        <v>7823.462306800001</v>
      </c>
      <c r="J31" s="14">
        <v>57.823625663971562</v>
      </c>
      <c r="K31" s="15">
        <v>2.1616718834703952</v>
      </c>
      <c r="L31" s="13">
        <v>124.99570579812449</v>
      </c>
    </row>
    <row r="32" spans="1:17" ht="15" customHeight="1" x14ac:dyDescent="0.2">
      <c r="A32" s="10">
        <v>42</v>
      </c>
      <c r="B32" s="13">
        <v>1636</v>
      </c>
      <c r="C32" s="13">
        <v>106</v>
      </c>
      <c r="D32" s="13">
        <v>94.100000000000037</v>
      </c>
      <c r="E32" s="14">
        <v>2.5000000000000009</v>
      </c>
      <c r="F32" s="13">
        <v>141.72104100000001</v>
      </c>
      <c r="G32" s="14">
        <v>61.099999999999994</v>
      </c>
      <c r="H32" s="13">
        <v>392.40405750000008</v>
      </c>
      <c r="I32" s="13">
        <v>8215.8663643000018</v>
      </c>
      <c r="J32" s="14">
        <v>57.972100023594948</v>
      </c>
      <c r="K32" s="15">
        <v>2.1464819068417911</v>
      </c>
      <c r="L32" s="13">
        <v>124.43606380226913</v>
      </c>
    </row>
    <row r="33" spans="1:12" ht="15" customHeight="1" x14ac:dyDescent="0.2">
      <c r="A33" s="10">
        <v>43</v>
      </c>
      <c r="B33" s="13">
        <v>1636.5</v>
      </c>
      <c r="C33" s="13">
        <v>106</v>
      </c>
      <c r="D33" s="13">
        <v>93.900000000000034</v>
      </c>
      <c r="E33" s="14">
        <v>2.600000000000001</v>
      </c>
      <c r="F33" s="13">
        <v>148.12314300000003</v>
      </c>
      <c r="G33" s="14">
        <v>61.3</v>
      </c>
      <c r="H33" s="13">
        <v>392.44885260000018</v>
      </c>
      <c r="I33" s="13">
        <v>8608.3152169000023</v>
      </c>
      <c r="J33" s="14">
        <v>58.11593679793846</v>
      </c>
      <c r="K33" s="15">
        <v>2.1325794929023281</v>
      </c>
      <c r="L33" s="13">
        <v>123.93685502609134</v>
      </c>
    </row>
    <row r="34" spans="1:12" ht="15" customHeight="1" x14ac:dyDescent="0.2">
      <c r="A34" s="16">
        <v>44</v>
      </c>
      <c r="B34" s="17">
        <v>1637</v>
      </c>
      <c r="C34" s="17">
        <v>106</v>
      </c>
      <c r="D34" s="17">
        <v>93.700000000000031</v>
      </c>
      <c r="E34" s="18">
        <v>2.7000000000000011</v>
      </c>
      <c r="F34" s="17">
        <v>154.50505000000004</v>
      </c>
      <c r="G34" s="18">
        <v>61.5</v>
      </c>
      <c r="H34" s="17">
        <v>392.48728050000011</v>
      </c>
      <c r="I34" s="17">
        <v>9000.8024974000018</v>
      </c>
      <c r="J34" s="18">
        <v>58.255717191120937</v>
      </c>
      <c r="K34" s="19">
        <v>2.119797929741428</v>
      </c>
      <c r="L34" s="17">
        <v>123.49034869734028</v>
      </c>
    </row>
    <row r="35" spans="1:12" ht="15" customHeight="1" x14ac:dyDescent="0.2">
      <c r="A35" s="10">
        <v>45</v>
      </c>
      <c r="B35" s="13">
        <v>1637.5</v>
      </c>
      <c r="C35" s="13">
        <v>106</v>
      </c>
      <c r="D35" s="13">
        <v>93.500000000000028</v>
      </c>
      <c r="E35" s="14">
        <v>2.8000000000000012</v>
      </c>
      <c r="F35" s="13">
        <v>160.86679000000004</v>
      </c>
      <c r="G35" s="14">
        <v>61.699999999999996</v>
      </c>
      <c r="H35" s="13">
        <v>392.51935800000001</v>
      </c>
      <c r="I35" s="13">
        <v>9393.3218554000014</v>
      </c>
      <c r="J35" s="14">
        <v>58.391926981324104</v>
      </c>
      <c r="K35" s="15">
        <v>2.1079982997300157</v>
      </c>
      <c r="L35" s="13">
        <v>123.09008279459044</v>
      </c>
    </row>
    <row r="36" spans="1:12" ht="15" customHeight="1" x14ac:dyDescent="0.2">
      <c r="A36" s="10">
        <v>46</v>
      </c>
      <c r="B36" s="13">
        <v>1638</v>
      </c>
      <c r="C36" s="13">
        <v>106</v>
      </c>
      <c r="D36" s="13">
        <v>93.300000000000026</v>
      </c>
      <c r="E36" s="14">
        <v>2.9000000000000012</v>
      </c>
      <c r="F36" s="13">
        <v>167.20839100000003</v>
      </c>
      <c r="G36" s="14">
        <v>61.8</v>
      </c>
      <c r="H36" s="13">
        <v>391.91094180000005</v>
      </c>
      <c r="I36" s="13">
        <v>9785.2327972000021</v>
      </c>
      <c r="J36" s="14">
        <v>58.521182691124636</v>
      </c>
      <c r="K36" s="15">
        <v>2.0971998239911218</v>
      </c>
      <c r="L36" s="13">
        <v>122.73061403957887</v>
      </c>
    </row>
    <row r="37" spans="1:12" ht="15" customHeight="1" x14ac:dyDescent="0.2">
      <c r="A37" s="10">
        <v>47</v>
      </c>
      <c r="B37" s="13">
        <v>1638.5</v>
      </c>
      <c r="C37" s="13">
        <v>106</v>
      </c>
      <c r="D37" s="13">
        <v>93.100000000000023</v>
      </c>
      <c r="E37" s="14">
        <v>3.0000000000000013</v>
      </c>
      <c r="F37" s="13">
        <v>173.52988100000005</v>
      </c>
      <c r="G37" s="14">
        <v>61.9</v>
      </c>
      <c r="H37" s="13">
        <v>391.30023100000005</v>
      </c>
      <c r="I37" s="13">
        <v>10176.533028200001</v>
      </c>
      <c r="J37" s="14">
        <v>58.644269042056216</v>
      </c>
      <c r="K37" s="15">
        <v>2.0872853693039222</v>
      </c>
      <c r="L37" s="13">
        <v>122.40732476500686</v>
      </c>
    </row>
    <row r="38" spans="1:12" ht="15" customHeight="1" x14ac:dyDescent="0.2">
      <c r="A38" s="16">
        <v>48</v>
      </c>
      <c r="B38" s="17">
        <v>1639</v>
      </c>
      <c r="C38" s="17">
        <v>106</v>
      </c>
      <c r="D38" s="17">
        <v>92.90000000000002</v>
      </c>
      <c r="E38" s="18">
        <v>3.1000000000000014</v>
      </c>
      <c r="F38" s="17">
        <v>179.83128800000006</v>
      </c>
      <c r="G38" s="18">
        <v>62</v>
      </c>
      <c r="H38" s="17">
        <v>390.6872340000001</v>
      </c>
      <c r="I38" s="17">
        <v>10567.220262200002</v>
      </c>
      <c r="J38" s="18">
        <v>58.761856069228614</v>
      </c>
      <c r="K38" s="19">
        <v>2.0781554614276634</v>
      </c>
      <c r="L38" s="17">
        <v>122.11627211389373</v>
      </c>
    </row>
    <row r="39" spans="1:12" ht="15" customHeight="1" x14ac:dyDescent="0.2">
      <c r="A39" s="10">
        <v>49</v>
      </c>
      <c r="B39" s="13">
        <v>1639.5</v>
      </c>
      <c r="C39" s="13">
        <v>106</v>
      </c>
      <c r="D39" s="13">
        <v>92.700000000000017</v>
      </c>
      <c r="E39" s="14">
        <v>3.2000000000000015</v>
      </c>
      <c r="F39" s="13">
        <v>186.11264000000006</v>
      </c>
      <c r="G39" s="14">
        <v>62.199999999999996</v>
      </c>
      <c r="H39" s="13">
        <v>390.70009440000001</v>
      </c>
      <c r="I39" s="13">
        <v>10957.920356600001</v>
      </c>
      <c r="J39" s="14">
        <v>58.877894357954396</v>
      </c>
      <c r="K39" s="15">
        <v>2.0696064364385158</v>
      </c>
      <c r="L39" s="13">
        <v>121.85406912716941</v>
      </c>
    </row>
    <row r="40" spans="1:12" ht="15" customHeight="1" x14ac:dyDescent="0.2">
      <c r="A40" s="10">
        <v>50</v>
      </c>
      <c r="B40" s="13">
        <v>1640</v>
      </c>
      <c r="C40" s="13">
        <v>106</v>
      </c>
      <c r="D40" s="13">
        <v>92.500000000000014</v>
      </c>
      <c r="E40" s="14">
        <v>3.3000000000000016</v>
      </c>
      <c r="F40" s="13">
        <v>192.37396500000006</v>
      </c>
      <c r="G40" s="14">
        <v>62.3</v>
      </c>
      <c r="H40" s="13">
        <v>390.08054750000014</v>
      </c>
      <c r="I40" s="13">
        <v>11348.000904100001</v>
      </c>
      <c r="J40" s="14">
        <v>58.989275935025816</v>
      </c>
      <c r="K40" s="15">
        <v>2.0616932178377829</v>
      </c>
      <c r="L40" s="13">
        <v>121.61779012040425</v>
      </c>
    </row>
    <row r="41" spans="1:12" ht="15" customHeight="1" x14ac:dyDescent="0.2">
      <c r="A41" s="10">
        <v>51</v>
      </c>
      <c r="B41" s="13">
        <v>1640.5</v>
      </c>
      <c r="C41" s="13">
        <v>106</v>
      </c>
      <c r="D41" s="13">
        <v>92.300000000000011</v>
      </c>
      <c r="E41" s="14">
        <v>3.4000000000000017</v>
      </c>
      <c r="F41" s="13">
        <v>198.61529100000007</v>
      </c>
      <c r="G41" s="14">
        <v>62.4</v>
      </c>
      <c r="H41" s="13">
        <v>389.45874240000006</v>
      </c>
      <c r="I41" s="13">
        <v>11737.459646500001</v>
      </c>
      <c r="J41" s="14">
        <v>59.096455199413612</v>
      </c>
      <c r="K41" s="15">
        <v>2.0543515569989821</v>
      </c>
      <c r="L41" s="13">
        <v>121.40489475203594</v>
      </c>
    </row>
    <row r="42" spans="1:12" ht="15" customHeight="1" x14ac:dyDescent="0.2">
      <c r="A42" s="16">
        <v>52</v>
      </c>
      <c r="B42" s="17">
        <v>1641</v>
      </c>
      <c r="C42" s="17">
        <v>106</v>
      </c>
      <c r="D42" s="17">
        <v>92.100000000000009</v>
      </c>
      <c r="E42" s="18">
        <v>3.5000000000000018</v>
      </c>
      <c r="F42" s="17">
        <v>204.83664600000006</v>
      </c>
      <c r="G42" s="18">
        <v>62.5</v>
      </c>
      <c r="H42" s="17">
        <v>388.83468749999997</v>
      </c>
      <c r="I42" s="17">
        <v>12126.294334000002</v>
      </c>
      <c r="J42" s="18">
        <v>59.199828599029097</v>
      </c>
      <c r="K42" s="19">
        <v>2.0475256344705506</v>
      </c>
      <c r="L42" s="17">
        <v>121.2131666127749</v>
      </c>
    </row>
    <row r="43" spans="1:12" ht="15" customHeight="1" x14ac:dyDescent="0.2">
      <c r="A43" s="10">
        <v>53</v>
      </c>
      <c r="B43" s="13">
        <v>1641.5</v>
      </c>
      <c r="C43" s="13">
        <v>106</v>
      </c>
      <c r="D43" s="13">
        <v>91.9</v>
      </c>
      <c r="E43" s="14">
        <v>3.6000000000000019</v>
      </c>
      <c r="F43" s="13">
        <v>211.03805800000006</v>
      </c>
      <c r="G43" s="14">
        <v>62.599999999999994</v>
      </c>
      <c r="H43" s="13">
        <v>388.20839119999999</v>
      </c>
      <c r="I43" s="13">
        <v>12514.502725200002</v>
      </c>
      <c r="J43" s="14">
        <v>59.299743580847384</v>
      </c>
      <c r="K43" s="15">
        <v>2.0411667215959444</v>
      </c>
      <c r="L43" s="13">
        <v>121.04066319639841</v>
      </c>
    </row>
    <row r="44" spans="1:12" ht="15" customHeight="1" x14ac:dyDescent="0.2">
      <c r="A44" s="10">
        <v>54</v>
      </c>
      <c r="B44" s="13">
        <v>1642</v>
      </c>
      <c r="C44" s="13">
        <v>106</v>
      </c>
      <c r="D44" s="13">
        <v>91.7</v>
      </c>
      <c r="E44" s="14">
        <v>3.700000000000002</v>
      </c>
      <c r="F44" s="13">
        <v>217.21955500000007</v>
      </c>
      <c r="G44" s="14">
        <v>62.699999999999996</v>
      </c>
      <c r="H44" s="13">
        <v>387.57986189999997</v>
      </c>
      <c r="I44" s="13">
        <v>12902.082587100002</v>
      </c>
      <c r="J44" s="14">
        <v>59.396505931982034</v>
      </c>
      <c r="K44" s="15">
        <v>2.0352320892949862</v>
      </c>
      <c r="L44" s="13">
        <v>120.88567486476984</v>
      </c>
    </row>
    <row r="45" spans="1:12" ht="15" customHeight="1" x14ac:dyDescent="0.2">
      <c r="A45" s="10">
        <v>55</v>
      </c>
      <c r="B45" s="13">
        <v>1642.5</v>
      </c>
      <c r="C45" s="13">
        <v>106</v>
      </c>
      <c r="D45" s="13">
        <v>91.5</v>
      </c>
      <c r="E45" s="14">
        <v>3.800000000000002</v>
      </c>
      <c r="F45" s="13">
        <v>223.38116500000007</v>
      </c>
      <c r="G45" s="14">
        <v>62.8</v>
      </c>
      <c r="H45" s="13">
        <v>386.94910800000002</v>
      </c>
      <c r="I45" s="13">
        <v>13289.031695100002</v>
      </c>
      <c r="J45" s="14">
        <v>59.490385839379066</v>
      </c>
      <c r="K45" s="15">
        <v>2.0296841123454801</v>
      </c>
      <c r="L45" s="13">
        <v>120.74669097549021</v>
      </c>
    </row>
    <row r="46" spans="1:12" ht="15" customHeight="1" x14ac:dyDescent="0.2">
      <c r="A46" s="16">
        <v>56</v>
      </c>
      <c r="B46" s="17">
        <v>1643</v>
      </c>
      <c r="C46" s="17">
        <v>106</v>
      </c>
      <c r="D46" s="17">
        <v>91.3</v>
      </c>
      <c r="E46" s="18">
        <v>3.9000000000000021</v>
      </c>
      <c r="F46" s="17">
        <v>229.52291600000007</v>
      </c>
      <c r="G46" s="18">
        <v>62.9</v>
      </c>
      <c r="H46" s="17">
        <v>386.3161379</v>
      </c>
      <c r="I46" s="17">
        <v>13675.347833000002</v>
      </c>
      <c r="J46" s="18">
        <v>59.581622921695526</v>
      </c>
      <c r="K46" s="19">
        <v>2.0244895294869094</v>
      </c>
      <c r="L46" s="17">
        <v>120.62237175480985</v>
      </c>
    </row>
    <row r="47" spans="1:12" ht="15" customHeight="1" x14ac:dyDescent="0.2">
      <c r="A47" s="10">
        <v>57</v>
      </c>
      <c r="B47" s="13">
        <v>1643.5</v>
      </c>
      <c r="C47" s="13">
        <v>106</v>
      </c>
      <c r="D47" s="13">
        <v>91.1</v>
      </c>
      <c r="E47" s="14">
        <v>4.0000000000000018</v>
      </c>
      <c r="F47" s="13">
        <v>235.64483600000005</v>
      </c>
      <c r="G47" s="14">
        <v>63</v>
      </c>
      <c r="H47" s="13">
        <v>385.68095999999997</v>
      </c>
      <c r="I47" s="13">
        <v>14061.028793000001</v>
      </c>
      <c r="J47" s="14">
        <v>59.670430431159538</v>
      </c>
      <c r="K47" s="15">
        <v>2.0196188286121233</v>
      </c>
      <c r="L47" s="13">
        <v>120.51152481015961</v>
      </c>
    </row>
    <row r="48" spans="1:12" ht="15" customHeight="1" x14ac:dyDescent="0.2">
      <c r="A48" s="10">
        <v>58</v>
      </c>
      <c r="B48" s="13">
        <v>1644</v>
      </c>
      <c r="C48" s="13">
        <v>106</v>
      </c>
      <c r="D48" s="13">
        <v>90.8</v>
      </c>
      <c r="E48" s="14">
        <v>4.1000000000000014</v>
      </c>
      <c r="F48" s="13">
        <v>241.74024000000006</v>
      </c>
      <c r="G48" s="14">
        <v>63.099999999999994</v>
      </c>
      <c r="H48" s="13">
        <v>384.6199924</v>
      </c>
      <c r="I48" s="13">
        <v>14445.648785400001</v>
      </c>
      <c r="J48" s="14">
        <v>59.756905947474849</v>
      </c>
      <c r="K48" s="15">
        <v>2.015104820312434</v>
      </c>
      <c r="L48" s="13">
        <v>120.41642922171333</v>
      </c>
    </row>
    <row r="49" spans="1:12" ht="15" customHeight="1" x14ac:dyDescent="0.2">
      <c r="A49" s="10">
        <v>59</v>
      </c>
      <c r="B49" s="13">
        <v>1644.5</v>
      </c>
      <c r="C49" s="13">
        <v>106</v>
      </c>
      <c r="D49" s="13">
        <v>90.5</v>
      </c>
      <c r="E49" s="14">
        <v>4.2000000000000011</v>
      </c>
      <c r="F49" s="13">
        <v>247.80917000000005</v>
      </c>
      <c r="G49" s="14">
        <v>63.199999999999996</v>
      </c>
      <c r="H49" s="13">
        <v>383.55637599999994</v>
      </c>
      <c r="I49" s="13">
        <v>14829.205161400001</v>
      </c>
      <c r="J49" s="14">
        <v>59.841228479963021</v>
      </c>
      <c r="K49" s="15">
        <v>2.0109191406712394</v>
      </c>
      <c r="L49" s="13">
        <v>120.33587175163855</v>
      </c>
    </row>
    <row r="50" spans="1:12" ht="15" customHeight="1" x14ac:dyDescent="0.2">
      <c r="A50" s="16">
        <v>60</v>
      </c>
      <c r="B50" s="17">
        <v>1645</v>
      </c>
      <c r="C50" s="17">
        <v>106</v>
      </c>
      <c r="D50" s="17">
        <v>90.2</v>
      </c>
      <c r="E50" s="18">
        <v>4.3000000000000007</v>
      </c>
      <c r="F50" s="17">
        <v>253.85166800000005</v>
      </c>
      <c r="G50" s="18">
        <v>63.3</v>
      </c>
      <c r="H50" s="17">
        <v>382.49012340000007</v>
      </c>
      <c r="I50" s="17">
        <v>15211.695284800002</v>
      </c>
      <c r="J50" s="18">
        <v>59.923558527888019</v>
      </c>
      <c r="K50" s="19">
        <v>2.0070364235146725</v>
      </c>
      <c r="L50" s="17">
        <v>120.26876459208452</v>
      </c>
    </row>
    <row r="51" spans="1:12" ht="15" customHeight="1" x14ac:dyDescent="0.2">
      <c r="A51" s="10">
        <v>61</v>
      </c>
      <c r="B51" s="13">
        <v>1646</v>
      </c>
      <c r="C51" s="13">
        <v>106</v>
      </c>
      <c r="D51" s="13">
        <v>89.9</v>
      </c>
      <c r="E51" s="14">
        <v>4.4000000000000004</v>
      </c>
      <c r="F51" s="13">
        <v>259.86777600000005</v>
      </c>
      <c r="G51" s="14">
        <v>63.4</v>
      </c>
      <c r="H51" s="13">
        <v>381.42124719999998</v>
      </c>
      <c r="I51" s="13">
        <v>15593.116532000002</v>
      </c>
      <c r="J51" s="14">
        <v>60.004040408611488</v>
      </c>
      <c r="K51" s="15">
        <v>2.0034339149515179</v>
      </c>
      <c r="L51" s="13">
        <v>120.2141295887336</v>
      </c>
    </row>
    <row r="52" spans="1:12" ht="15" customHeight="1" x14ac:dyDescent="0.2">
      <c r="A52" s="10">
        <v>62</v>
      </c>
      <c r="B52" s="13">
        <v>1647</v>
      </c>
      <c r="C52" s="13">
        <v>106</v>
      </c>
      <c r="D52" s="13">
        <v>89.600000000000009</v>
      </c>
      <c r="E52" s="14">
        <v>4.5</v>
      </c>
      <c r="F52" s="13">
        <v>265.85753600000004</v>
      </c>
      <c r="G52" s="14">
        <v>63.5</v>
      </c>
      <c r="H52" s="13">
        <v>380.34976</v>
      </c>
      <c r="I52" s="13">
        <v>15973.466292000001</v>
      </c>
      <c r="J52" s="14">
        <v>60.082804242946111</v>
      </c>
      <c r="K52" s="15">
        <v>2.0000911459024224</v>
      </c>
      <c r="L52" s="13">
        <v>120.17108478730502</v>
      </c>
    </row>
    <row r="53" spans="1:12" ht="15" customHeight="1" x14ac:dyDescent="0.2">
      <c r="A53" s="10">
        <v>63</v>
      </c>
      <c r="B53" s="13">
        <v>1648</v>
      </c>
      <c r="C53" s="13">
        <v>106</v>
      </c>
      <c r="D53" s="13">
        <v>89.300000000000011</v>
      </c>
      <c r="E53" s="14">
        <v>4.5999999999999996</v>
      </c>
      <c r="F53" s="13">
        <v>271.82099000000005</v>
      </c>
      <c r="G53" s="14">
        <v>63.599999999999994</v>
      </c>
      <c r="H53" s="13">
        <v>379.27567440000007</v>
      </c>
      <c r="I53" s="13">
        <v>16352.741966400001</v>
      </c>
      <c r="J53" s="14">
        <v>60.15996765518365</v>
      </c>
      <c r="K53" s="15">
        <v>1.9969896526893685</v>
      </c>
      <c r="L53" s="13">
        <v>120.13883291352884</v>
      </c>
    </row>
    <row r="54" spans="1:12" ht="15" customHeight="1" x14ac:dyDescent="0.2">
      <c r="A54" s="16">
        <v>64</v>
      </c>
      <c r="B54" s="17">
        <v>1649</v>
      </c>
      <c r="C54" s="17">
        <v>106</v>
      </c>
      <c r="D54" s="17">
        <v>89.000000000000014</v>
      </c>
      <c r="E54" s="18">
        <v>4.6999999999999993</v>
      </c>
      <c r="F54" s="17">
        <v>277.75818000000004</v>
      </c>
      <c r="G54" s="18">
        <v>63.699999999999996</v>
      </c>
      <c r="H54" s="17">
        <v>378.19900300000006</v>
      </c>
      <c r="I54" s="17">
        <v>16730.940969400002</v>
      </c>
      <c r="J54" s="18">
        <v>60.235637234518173</v>
      </c>
      <c r="K54" s="19">
        <v>1.9941127376529417</v>
      </c>
      <c r="L54" s="17">
        <v>120.11665146999449</v>
      </c>
    </row>
    <row r="55" spans="1:12" ht="15" customHeight="1" x14ac:dyDescent="0.2">
      <c r="A55" s="10">
        <v>65</v>
      </c>
      <c r="B55" s="13">
        <v>1650</v>
      </c>
      <c r="C55" s="13">
        <v>106</v>
      </c>
      <c r="D55" s="13">
        <v>88.700000000000017</v>
      </c>
      <c r="E55" s="14">
        <v>4.7999999999999989</v>
      </c>
      <c r="F55" s="13">
        <v>283.66914800000006</v>
      </c>
      <c r="G55" s="14">
        <v>63.8</v>
      </c>
      <c r="H55" s="13">
        <v>377.11975840000008</v>
      </c>
      <c r="I55" s="13">
        <v>17108.060727800002</v>
      </c>
      <c r="J55" s="14">
        <v>60.309909796041687</v>
      </c>
      <c r="K55" s="15">
        <v>1.9914452632634052</v>
      </c>
      <c r="L55" s="13">
        <v>120.10388419117045</v>
      </c>
    </row>
    <row r="56" spans="1:12" ht="15" customHeight="1" x14ac:dyDescent="0.2">
      <c r="A56" s="10">
        <v>66</v>
      </c>
      <c r="B56" s="13">
        <v>1651</v>
      </c>
      <c r="C56" s="13">
        <v>106</v>
      </c>
      <c r="D56" s="13">
        <v>88.40000000000002</v>
      </c>
      <c r="E56" s="14">
        <v>4.8999999999999986</v>
      </c>
      <c r="F56" s="13">
        <v>289.55393600000008</v>
      </c>
      <c r="G56" s="14">
        <v>63.8</v>
      </c>
      <c r="H56" s="13">
        <v>375.44947439999999</v>
      </c>
      <c r="I56" s="13">
        <v>17483.510202200003</v>
      </c>
      <c r="J56" s="14">
        <v>60.380841109339983</v>
      </c>
      <c r="K56" s="15">
        <v>1.989040421392273</v>
      </c>
      <c r="L56" s="13">
        <v>120.09993364414147</v>
      </c>
    </row>
    <row r="57" spans="1:12" ht="15" customHeight="1" x14ac:dyDescent="0.2">
      <c r="A57" s="10">
        <v>67</v>
      </c>
      <c r="B57" s="13">
        <v>1652</v>
      </c>
      <c r="C57" s="13">
        <v>106</v>
      </c>
      <c r="D57" s="13">
        <v>88.000000000000014</v>
      </c>
      <c r="E57" s="14">
        <v>4.9999999999999982</v>
      </c>
      <c r="F57" s="13">
        <v>295.40593600000005</v>
      </c>
      <c r="G57" s="14">
        <v>63.9</v>
      </c>
      <c r="H57" s="13">
        <v>373.94280000000003</v>
      </c>
      <c r="I57" s="13">
        <v>17857.453002200004</v>
      </c>
      <c r="J57" s="14">
        <v>60.450555747126216</v>
      </c>
      <c r="K57" s="15">
        <v>1.9868627679226647</v>
      </c>
      <c r="L57" s="13">
        <v>120.10695851419855</v>
      </c>
    </row>
    <row r="58" spans="1:12" ht="15" customHeight="1" x14ac:dyDescent="0.2">
      <c r="A58" s="16">
        <v>68</v>
      </c>
      <c r="B58" s="17">
        <v>1653</v>
      </c>
      <c r="C58" s="17">
        <v>106</v>
      </c>
      <c r="D58" s="17">
        <v>87.600000000000009</v>
      </c>
      <c r="E58" s="18">
        <v>5.0999999999999979</v>
      </c>
      <c r="F58" s="17">
        <v>301.22520400000008</v>
      </c>
      <c r="G58" s="18">
        <v>63.9</v>
      </c>
      <c r="H58" s="17">
        <v>371.85122520000004</v>
      </c>
      <c r="I58" s="17">
        <v>18229.304227400004</v>
      </c>
      <c r="J58" s="18">
        <v>60.517194395858056</v>
      </c>
      <c r="K58" s="19">
        <v>1.9849614691059931</v>
      </c>
      <c r="L58" s="17">
        <v>120.12429909417537</v>
      </c>
    </row>
    <row r="59" spans="1:12" ht="15" customHeight="1" x14ac:dyDescent="0.2">
      <c r="A59" s="10">
        <v>69</v>
      </c>
      <c r="B59" s="13">
        <v>1654</v>
      </c>
      <c r="C59" s="13">
        <v>106</v>
      </c>
      <c r="D59" s="13">
        <v>87.2</v>
      </c>
      <c r="E59" s="14">
        <v>5.1999999999999975</v>
      </c>
      <c r="F59" s="13">
        <v>307.01179600000006</v>
      </c>
      <c r="G59" s="14">
        <v>64</v>
      </c>
      <c r="H59" s="13">
        <v>370.34188799999998</v>
      </c>
      <c r="I59" s="13">
        <v>18599.646115400003</v>
      </c>
      <c r="J59" s="14">
        <v>60.582838697832962</v>
      </c>
      <c r="K59" s="15">
        <v>1.9832572228058594</v>
      </c>
      <c r="L59" s="13">
        <v>120.15135242555955</v>
      </c>
    </row>
    <row r="60" spans="1:12" ht="15" customHeight="1" x14ac:dyDescent="0.2">
      <c r="A60" s="10">
        <v>70</v>
      </c>
      <c r="B60" s="13">
        <v>1655</v>
      </c>
      <c r="C60" s="13">
        <v>106</v>
      </c>
      <c r="D60" s="13">
        <v>86.8</v>
      </c>
      <c r="E60" s="14">
        <v>5.2999999999999972</v>
      </c>
      <c r="F60" s="13">
        <v>312.76576800000004</v>
      </c>
      <c r="G60" s="14">
        <v>64</v>
      </c>
      <c r="H60" s="13">
        <v>368.25420800000001</v>
      </c>
      <c r="I60" s="13">
        <v>18967.900323400001</v>
      </c>
      <c r="J60" s="14">
        <v>60.645704434636208</v>
      </c>
      <c r="K60" s="15">
        <v>1.9817985047942239</v>
      </c>
      <c r="L60" s="13">
        <v>120.18756637075447</v>
      </c>
    </row>
    <row r="61" spans="1:12" ht="15" customHeight="1" x14ac:dyDescent="0.2">
      <c r="A61" s="10">
        <v>71</v>
      </c>
      <c r="B61" s="13">
        <v>1656</v>
      </c>
      <c r="C61" s="13">
        <v>106</v>
      </c>
      <c r="D61" s="13">
        <v>86.399999999999991</v>
      </c>
      <c r="E61" s="14">
        <v>5.3999999999999968</v>
      </c>
      <c r="F61" s="13">
        <v>318.48717600000003</v>
      </c>
      <c r="G61" s="14">
        <v>64.099999999999994</v>
      </c>
      <c r="H61" s="13">
        <v>366.7422527999999</v>
      </c>
      <c r="I61" s="13">
        <v>19334.6425762</v>
      </c>
      <c r="J61" s="14">
        <v>60.707758532167709</v>
      </c>
      <c r="K61" s="15">
        <v>1.9805118377071103</v>
      </c>
      <c r="L61" s="13">
        <v>120.23243441362297</v>
      </c>
    </row>
    <row r="62" spans="1:12" ht="15" customHeight="1" x14ac:dyDescent="0.2">
      <c r="A62" s="16">
        <v>72</v>
      </c>
      <c r="B62" s="17">
        <v>1657</v>
      </c>
      <c r="C62" s="17">
        <v>106</v>
      </c>
      <c r="D62" s="17">
        <v>85.999999999999986</v>
      </c>
      <c r="E62" s="18">
        <v>5.4999999999999964</v>
      </c>
      <c r="F62" s="17">
        <v>324.17607600000002</v>
      </c>
      <c r="G62" s="18">
        <v>64.099999999999994</v>
      </c>
      <c r="H62" s="17">
        <v>364.65848999999992</v>
      </c>
      <c r="I62" s="17">
        <v>19699.301066200002</v>
      </c>
      <c r="J62" s="18">
        <v>60.767288287492256</v>
      </c>
      <c r="K62" s="19">
        <v>1.9794447716170618</v>
      </c>
      <c r="L62" s="17">
        <v>120.28549108602326</v>
      </c>
    </row>
    <row r="63" spans="1:12" ht="15" customHeight="1" x14ac:dyDescent="0.2">
      <c r="A63" s="10">
        <v>73</v>
      </c>
      <c r="B63" s="13">
        <v>1658</v>
      </c>
      <c r="C63" s="13">
        <v>106</v>
      </c>
      <c r="D63" s="13">
        <v>85.59999999999998</v>
      </c>
      <c r="E63" s="14">
        <v>5.5999999999999961</v>
      </c>
      <c r="F63" s="13">
        <v>329.83252400000003</v>
      </c>
      <c r="G63" s="14">
        <v>64.2</v>
      </c>
      <c r="H63" s="13">
        <v>363.1439615999999</v>
      </c>
      <c r="I63" s="13">
        <v>20062.4450278</v>
      </c>
      <c r="J63" s="14">
        <v>60.826157422243774</v>
      </c>
      <c r="K63" s="15">
        <v>1.9785288605151015</v>
      </c>
      <c r="L63" s="13">
        <v>120.34630793414416</v>
      </c>
    </row>
    <row r="64" spans="1:12" ht="15" customHeight="1" x14ac:dyDescent="0.2">
      <c r="A64" s="10">
        <v>74</v>
      </c>
      <c r="B64" s="13">
        <v>1659</v>
      </c>
      <c r="C64" s="13">
        <v>106</v>
      </c>
      <c r="D64" s="13">
        <v>85.199999999999974</v>
      </c>
      <c r="E64" s="14">
        <v>5.6999999999999957</v>
      </c>
      <c r="F64" s="13">
        <v>335.45657600000004</v>
      </c>
      <c r="G64" s="14">
        <v>64.2</v>
      </c>
      <c r="H64" s="13">
        <v>361.06413839999993</v>
      </c>
      <c r="I64" s="13">
        <v>20423.509166200001</v>
      </c>
      <c r="J64" s="14">
        <v>60.882721125133045</v>
      </c>
      <c r="K64" s="15">
        <v>1.9778105795281249</v>
      </c>
      <c r="L64" s="13">
        <v>120.41448995174861</v>
      </c>
    </row>
    <row r="65" spans="1:12" ht="15" customHeight="1" x14ac:dyDescent="0.2">
      <c r="A65" s="10">
        <v>75</v>
      </c>
      <c r="B65" s="13">
        <v>1660</v>
      </c>
      <c r="C65" s="13">
        <v>106</v>
      </c>
      <c r="D65" s="13">
        <v>84.699999999999974</v>
      </c>
      <c r="E65" s="14">
        <v>5.7999999999999954</v>
      </c>
      <c r="F65" s="13">
        <v>341.04169400000006</v>
      </c>
      <c r="G65" s="14">
        <v>64.3</v>
      </c>
      <c r="H65" s="13">
        <v>359.12308739999986</v>
      </c>
      <c r="I65" s="13">
        <v>20782.632253600001</v>
      </c>
      <c r="J65" s="14">
        <v>60.938684680589219</v>
      </c>
      <c r="K65" s="15">
        <v>1.9772662095236679</v>
      </c>
      <c r="L65" s="13">
        <v>120.49200207174665</v>
      </c>
    </row>
    <row r="66" spans="1:12" ht="15" customHeight="1" x14ac:dyDescent="0.2">
      <c r="A66" s="16">
        <v>76</v>
      </c>
      <c r="B66" s="17">
        <v>1661</v>
      </c>
      <c r="C66" s="17">
        <v>106</v>
      </c>
      <c r="D66" s="17">
        <v>84.199999999999974</v>
      </c>
      <c r="E66" s="18">
        <v>5.899999999999995</v>
      </c>
      <c r="F66" s="17">
        <v>346.58794800000004</v>
      </c>
      <c r="G66" s="18">
        <v>64.3</v>
      </c>
      <c r="H66" s="17">
        <v>356.62413219999991</v>
      </c>
      <c r="I66" s="17">
        <v>21139.256385799999</v>
      </c>
      <c r="J66" s="18">
        <v>60.992473938534054</v>
      </c>
      <c r="K66" s="19">
        <v>1.9769389110618163</v>
      </c>
      <c r="L66" s="17">
        <v>120.57839501101174</v>
      </c>
    </row>
    <row r="67" spans="1:12" ht="15" customHeight="1" x14ac:dyDescent="0.2">
      <c r="A67" s="10">
        <v>77</v>
      </c>
      <c r="B67" s="13">
        <v>1662</v>
      </c>
      <c r="C67" s="13">
        <v>106</v>
      </c>
      <c r="D67" s="13">
        <v>83.699999999999974</v>
      </c>
      <c r="E67" s="14">
        <v>5.9999999999999947</v>
      </c>
      <c r="F67" s="13">
        <v>352.09540800000002</v>
      </c>
      <c r="G67" s="14">
        <v>64.399999999999991</v>
      </c>
      <c r="H67" s="13">
        <v>354.68042399999985</v>
      </c>
      <c r="I67" s="13">
        <v>21493.936809799998</v>
      </c>
      <c r="J67" s="14">
        <v>61.045774302742387</v>
      </c>
      <c r="K67" s="15">
        <v>1.9767666982545371</v>
      </c>
      <c r="L67" s="13">
        <v>120.67325371082374</v>
      </c>
    </row>
    <row r="68" spans="1:12" ht="15" customHeight="1" x14ac:dyDescent="0.2">
      <c r="A68" s="10">
        <v>78</v>
      </c>
      <c r="B68" s="13">
        <v>1663</v>
      </c>
      <c r="C68" s="13">
        <v>106</v>
      </c>
      <c r="D68" s="13">
        <v>83.199999999999974</v>
      </c>
      <c r="E68" s="14">
        <v>6.0999999999999943</v>
      </c>
      <c r="F68" s="13">
        <v>357.564144</v>
      </c>
      <c r="G68" s="14">
        <v>64.399999999999991</v>
      </c>
      <c r="H68" s="13">
        <v>352.18659839999987</v>
      </c>
      <c r="I68" s="13">
        <v>21846.123408199997</v>
      </c>
      <c r="J68" s="14">
        <v>61.097075237499197</v>
      </c>
      <c r="K68" s="15">
        <v>1.9767917489558038</v>
      </c>
      <c r="L68" s="13">
        <v>120.77619421482038</v>
      </c>
    </row>
    <row r="69" spans="1:12" ht="15" customHeight="1" x14ac:dyDescent="0.2">
      <c r="A69" s="10">
        <v>79</v>
      </c>
      <c r="B69" s="13">
        <v>1664</v>
      </c>
      <c r="C69" s="13">
        <v>106</v>
      </c>
      <c r="D69" s="13">
        <v>82.699999999999974</v>
      </c>
      <c r="E69" s="14">
        <v>6.199999999999994</v>
      </c>
      <c r="F69" s="13">
        <v>362.99422600000003</v>
      </c>
      <c r="G69" s="14">
        <v>64.5</v>
      </c>
      <c r="H69" s="13">
        <v>350.24028899999996</v>
      </c>
      <c r="I69" s="13">
        <v>22196.363697199999</v>
      </c>
      <c r="J69" s="14">
        <v>61.147980070625138</v>
      </c>
      <c r="K69" s="15">
        <v>1.9769559148796736</v>
      </c>
      <c r="L69" s="13">
        <v>120.88686088356677</v>
      </c>
    </row>
    <row r="70" spans="1:12" ht="15" customHeight="1" x14ac:dyDescent="0.2">
      <c r="A70" s="16">
        <v>80</v>
      </c>
      <c r="B70" s="17">
        <v>1665</v>
      </c>
      <c r="C70" s="17">
        <v>106</v>
      </c>
      <c r="D70" s="17">
        <v>82.199999999999974</v>
      </c>
      <c r="E70" s="18">
        <v>6.2999999999999936</v>
      </c>
      <c r="F70" s="17">
        <v>368.38572400000004</v>
      </c>
      <c r="G70" s="18">
        <v>64.5</v>
      </c>
      <c r="H70" s="17">
        <v>347.75162099999989</v>
      </c>
      <c r="I70" s="17">
        <v>22544.115318199998</v>
      </c>
      <c r="J70" s="18">
        <v>61.197038455811594</v>
      </c>
      <c r="K70" s="19">
        <v>1.977300322981099</v>
      </c>
      <c r="L70" s="17">
        <v>121.00492390416301</v>
      </c>
    </row>
    <row r="71" spans="1:12" ht="15" customHeight="1" x14ac:dyDescent="0.2">
      <c r="A71" s="10">
        <v>81</v>
      </c>
      <c r="B71" s="13">
        <v>1665</v>
      </c>
      <c r="C71" s="13">
        <v>106</v>
      </c>
      <c r="D71" s="13">
        <v>81.59999999999998</v>
      </c>
      <c r="E71" s="14">
        <v>6.3999999999999932</v>
      </c>
      <c r="F71" s="13">
        <v>373.73215600000003</v>
      </c>
      <c r="G71" s="14">
        <v>64.599999999999994</v>
      </c>
      <c r="H71" s="13">
        <v>345.37950719999992</v>
      </c>
      <c r="I71" s="13">
        <v>22889.494825399997</v>
      </c>
      <c r="J71" s="14">
        <v>61.245719582662815</v>
      </c>
      <c r="K71" s="15">
        <v>1.9778067993778401</v>
      </c>
      <c r="L71" s="13">
        <v>121.13220062337905</v>
      </c>
    </row>
    <row r="72" spans="1:12" ht="15" customHeight="1" x14ac:dyDescent="0.2">
      <c r="A72" s="10">
        <v>82</v>
      </c>
      <c r="B72" s="13">
        <v>1665</v>
      </c>
      <c r="C72" s="13">
        <v>106</v>
      </c>
      <c r="D72" s="13">
        <v>80.999999999999986</v>
      </c>
      <c r="E72" s="14">
        <v>6.4999999999999929</v>
      </c>
      <c r="F72" s="13">
        <v>379.03360600000002</v>
      </c>
      <c r="G72" s="14">
        <v>64.599999999999994</v>
      </c>
      <c r="H72" s="13">
        <v>342.47366999999991</v>
      </c>
      <c r="I72" s="13">
        <v>23231.968495399997</v>
      </c>
      <c r="J72" s="14">
        <v>61.292635079434078</v>
      </c>
      <c r="K72" s="15">
        <v>1.9785137238414028</v>
      </c>
      <c r="L72" s="13">
        <v>121.26831967506331</v>
      </c>
    </row>
    <row r="73" spans="1:12" ht="15" customHeight="1" x14ac:dyDescent="0.2">
      <c r="A73" s="10">
        <v>83</v>
      </c>
      <c r="B73" s="13">
        <v>1665</v>
      </c>
      <c r="C73" s="13">
        <v>106</v>
      </c>
      <c r="D73" s="13">
        <v>80.399999999999991</v>
      </c>
      <c r="E73" s="14">
        <v>6.5999999999999925</v>
      </c>
      <c r="F73" s="13">
        <v>384.29015800000002</v>
      </c>
      <c r="G73" s="14">
        <v>64.699999999999989</v>
      </c>
      <c r="H73" s="13">
        <v>340.0989143999999</v>
      </c>
      <c r="I73" s="13">
        <v>23572.067409799998</v>
      </c>
      <c r="J73" s="14">
        <v>61.339243066953586</v>
      </c>
      <c r="K73" s="15">
        <v>1.9793680244017202</v>
      </c>
      <c r="L73" s="13">
        <v>121.41293636773283</v>
      </c>
    </row>
    <row r="74" spans="1:12" ht="15" customHeight="1" x14ac:dyDescent="0.2">
      <c r="A74" s="16">
        <v>84</v>
      </c>
      <c r="B74" s="17">
        <v>1665</v>
      </c>
      <c r="C74" s="17">
        <v>106</v>
      </c>
      <c r="D74" s="17">
        <v>79.8</v>
      </c>
      <c r="E74" s="18">
        <v>6.6999999999999922</v>
      </c>
      <c r="F74" s="17">
        <v>389.50189600000004</v>
      </c>
      <c r="G74" s="18">
        <v>64.699999999999989</v>
      </c>
      <c r="H74" s="17">
        <v>337.19944860000004</v>
      </c>
      <c r="I74" s="17">
        <v>23909.266858399998</v>
      </c>
      <c r="J74" s="18">
        <v>61.384211743092507</v>
      </c>
      <c r="K74" s="19">
        <v>1.9804071275135975</v>
      </c>
      <c r="L74" s="17">
        <v>121.56573045282427</v>
      </c>
    </row>
    <row r="75" spans="1:12" ht="15" customHeight="1" x14ac:dyDescent="0.2">
      <c r="A75" s="10">
        <v>85</v>
      </c>
      <c r="B75" s="13">
        <v>1665</v>
      </c>
      <c r="C75" s="13">
        <v>106</v>
      </c>
      <c r="D75" s="13">
        <v>79.2</v>
      </c>
      <c r="E75" s="14">
        <v>6.7999999999999918</v>
      </c>
      <c r="F75" s="13">
        <v>394.66890400000005</v>
      </c>
      <c r="G75" s="14">
        <v>64.799999999999983</v>
      </c>
      <c r="H75" s="13">
        <v>334.82211839999991</v>
      </c>
      <c r="I75" s="13">
        <v>24244.088976799998</v>
      </c>
      <c r="J75" s="14">
        <v>61.42893126639639</v>
      </c>
      <c r="K75" s="15">
        <v>1.9815810173759336</v>
      </c>
      <c r="L75" s="13">
        <v>121.72640411518205</v>
      </c>
    </row>
    <row r="76" spans="1:12" ht="15" customHeight="1" x14ac:dyDescent="0.2">
      <c r="A76" s="10">
        <v>86</v>
      </c>
      <c r="B76" s="13">
        <v>1665</v>
      </c>
      <c r="C76" s="13">
        <v>106</v>
      </c>
      <c r="D76" s="13">
        <v>78.600000000000009</v>
      </c>
      <c r="E76" s="14">
        <v>6.8999999999999915</v>
      </c>
      <c r="F76" s="13">
        <v>399.79126600000006</v>
      </c>
      <c r="G76" s="14">
        <v>64.799999999999983</v>
      </c>
      <c r="H76" s="13">
        <v>331.92905759999991</v>
      </c>
      <c r="I76" s="13">
        <v>24576.018034399996</v>
      </c>
      <c r="J76" s="14">
        <v>61.472123391509989</v>
      </c>
      <c r="K76" s="15">
        <v>1.9829261368455764</v>
      </c>
      <c r="L76" s="13">
        <v>121.8946801604215</v>
      </c>
    </row>
    <row r="77" spans="1:12" ht="15" customHeight="1" x14ac:dyDescent="0.2">
      <c r="A77" s="10">
        <v>87</v>
      </c>
      <c r="B77" s="13">
        <v>1665</v>
      </c>
      <c r="C77" s="13">
        <v>106</v>
      </c>
      <c r="D77" s="13">
        <v>78.000000000000014</v>
      </c>
      <c r="E77" s="14">
        <v>6.9999999999999911</v>
      </c>
      <c r="F77" s="13">
        <v>404.86906600000009</v>
      </c>
      <c r="G77" s="14">
        <v>64.899999999999977</v>
      </c>
      <c r="H77" s="13">
        <v>329.54921999999993</v>
      </c>
      <c r="I77" s="13">
        <v>24905.567254399997</v>
      </c>
      <c r="J77" s="14">
        <v>61.515115245677947</v>
      </c>
      <c r="K77" s="15">
        <v>1.984395215542367</v>
      </c>
      <c r="L77" s="13">
        <v>122.07030037706063</v>
      </c>
    </row>
    <row r="78" spans="1:12" ht="15" customHeight="1" x14ac:dyDescent="0.2">
      <c r="A78" s="16">
        <v>88</v>
      </c>
      <c r="B78" s="17">
        <v>1665</v>
      </c>
      <c r="C78" s="17">
        <v>106</v>
      </c>
      <c r="D78" s="17">
        <v>77.40000000000002</v>
      </c>
      <c r="E78" s="18">
        <v>7.0999999999999908</v>
      </c>
      <c r="F78" s="17">
        <v>409.90238800000009</v>
      </c>
      <c r="G78" s="18">
        <v>64.899999999999977</v>
      </c>
      <c r="H78" s="17">
        <v>326.66259779999996</v>
      </c>
      <c r="I78" s="17">
        <v>25232.229852199998</v>
      </c>
      <c r="J78" s="18">
        <v>61.556679323858909</v>
      </c>
      <c r="K78" s="19">
        <v>1.9860237003837673</v>
      </c>
      <c r="L78" s="17">
        <v>122.25302405410721</v>
      </c>
    </row>
    <row r="79" spans="1:12" ht="15" customHeight="1" x14ac:dyDescent="0.2">
      <c r="A79" s="10">
        <v>89</v>
      </c>
      <c r="B79" s="13">
        <v>1665</v>
      </c>
      <c r="C79" s="13">
        <v>106</v>
      </c>
      <c r="D79" s="13">
        <v>76.800000000000026</v>
      </c>
      <c r="E79" s="14">
        <v>7.1999999999999904</v>
      </c>
      <c r="F79" s="13">
        <v>414.89131600000007</v>
      </c>
      <c r="G79" s="14">
        <v>64.999999999999972</v>
      </c>
      <c r="H79" s="13">
        <v>324.28032000000002</v>
      </c>
      <c r="I79" s="13">
        <v>25556.5101722</v>
      </c>
      <c r="J79" s="14">
        <v>61.598084092461448</v>
      </c>
      <c r="K79" s="15">
        <v>1.9877668021849053</v>
      </c>
      <c r="L79" s="13">
        <v>122.44262663718898</v>
      </c>
    </row>
    <row r="80" spans="1:12" ht="15" customHeight="1" x14ac:dyDescent="0.2">
      <c r="A80" s="20">
        <v>90</v>
      </c>
      <c r="B80" s="21">
        <v>1665</v>
      </c>
      <c r="C80" s="21">
        <v>106</v>
      </c>
      <c r="D80" s="21">
        <v>76.200000000000031</v>
      </c>
      <c r="E80" s="22">
        <v>7.2999999999999901</v>
      </c>
      <c r="F80" s="21">
        <v>419.83593400000007</v>
      </c>
      <c r="G80" s="22">
        <v>64.999999999999972</v>
      </c>
      <c r="H80" s="21">
        <v>321.40017000000006</v>
      </c>
      <c r="I80" s="21">
        <v>25877.910342200001</v>
      </c>
      <c r="J80" s="22">
        <v>61.638150159390591</v>
      </c>
      <c r="K80" s="23">
        <v>1.9896589724262392</v>
      </c>
      <c r="L80" s="21">
        <v>122.63889850838731</v>
      </c>
    </row>
    <row r="81" spans="1:12" x14ac:dyDescent="0.2">
      <c r="A81" s="543" t="s">
        <v>169</v>
      </c>
      <c r="B81" s="543"/>
      <c r="C81" s="543"/>
      <c r="D81" s="543"/>
      <c r="E81" s="543"/>
      <c r="F81" s="543"/>
      <c r="G81" s="543"/>
      <c r="H81" s="543"/>
      <c r="I81" s="543"/>
      <c r="J81" s="543"/>
      <c r="K81" s="543"/>
      <c r="L81" s="543"/>
    </row>
    <row r="82" spans="1:12" x14ac:dyDescent="0.2">
      <c r="A82" s="543" t="s">
        <v>170</v>
      </c>
      <c r="B82" s="543"/>
      <c r="C82" s="543"/>
      <c r="D82" s="543"/>
      <c r="E82" s="543"/>
      <c r="F82" s="543"/>
      <c r="G82" s="543"/>
      <c r="H82" s="543"/>
      <c r="I82" s="543"/>
      <c r="J82" s="543"/>
      <c r="K82" s="543"/>
      <c r="L82" s="543"/>
    </row>
    <row r="83" spans="1:12" x14ac:dyDescent="0.2">
      <c r="A83" s="543" t="s">
        <v>171</v>
      </c>
      <c r="B83" s="543"/>
      <c r="C83" s="543"/>
      <c r="D83" s="543"/>
      <c r="E83" s="543"/>
      <c r="F83" s="543"/>
      <c r="G83" s="543"/>
      <c r="H83" s="543"/>
      <c r="I83" s="543"/>
      <c r="J83" s="543"/>
      <c r="K83" s="543"/>
      <c r="L83" s="543"/>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Q83"/>
  <sheetViews>
    <sheetView topLeftCell="A54" workbookViewId="0">
      <selection activeCell="J73" sqref="J7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2" t="s">
        <v>256</v>
      </c>
      <c r="B1" s="542"/>
      <c r="C1" s="542"/>
      <c r="D1" s="542"/>
      <c r="E1" s="542"/>
      <c r="F1" s="542"/>
      <c r="G1" s="542"/>
      <c r="H1" s="542"/>
      <c r="I1" s="542"/>
      <c r="J1" s="542"/>
      <c r="K1" s="542"/>
      <c r="L1" s="542"/>
      <c r="N1" s="542" t="s">
        <v>260</v>
      </c>
      <c r="O1" s="542"/>
      <c r="P1" s="542"/>
      <c r="Q1" s="542"/>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106" t="s">
        <v>89</v>
      </c>
      <c r="Q6" s="107"/>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1250</v>
      </c>
      <c r="C8" s="12">
        <v>78</v>
      </c>
      <c r="D8" s="12">
        <v>0</v>
      </c>
      <c r="E8" s="12">
        <v>0.1</v>
      </c>
      <c r="F8" s="12">
        <v>0</v>
      </c>
      <c r="G8" s="12">
        <v>0</v>
      </c>
      <c r="H8" s="12">
        <v>0</v>
      </c>
      <c r="I8" s="12">
        <v>0</v>
      </c>
      <c r="J8" s="12">
        <v>0</v>
      </c>
      <c r="K8" s="12">
        <v>0</v>
      </c>
      <c r="L8" s="12">
        <v>0</v>
      </c>
      <c r="N8" s="100">
        <v>0</v>
      </c>
      <c r="O8" s="101"/>
      <c r="P8" s="102">
        <v>32</v>
      </c>
      <c r="Q8" s="102">
        <v>35</v>
      </c>
    </row>
    <row r="9" spans="1:17" ht="15" customHeight="1" x14ac:dyDescent="0.2">
      <c r="A9" s="10">
        <v>19</v>
      </c>
      <c r="B9" s="13">
        <v>1315</v>
      </c>
      <c r="C9" s="13">
        <v>84</v>
      </c>
      <c r="D9" s="13">
        <v>0</v>
      </c>
      <c r="E9" s="14">
        <v>0.2</v>
      </c>
      <c r="F9" s="13">
        <v>0</v>
      </c>
      <c r="G9" s="14">
        <v>43.4</v>
      </c>
      <c r="H9" s="13">
        <v>0</v>
      </c>
      <c r="I9" s="13">
        <v>0</v>
      </c>
      <c r="J9" s="14">
        <v>0</v>
      </c>
      <c r="K9" s="15">
        <v>0</v>
      </c>
      <c r="L9" s="13">
        <v>0</v>
      </c>
      <c r="N9" s="101">
        <v>1</v>
      </c>
      <c r="O9" s="101">
        <v>10</v>
      </c>
      <c r="P9" s="102">
        <v>70</v>
      </c>
      <c r="Q9" s="102">
        <v>75</v>
      </c>
    </row>
    <row r="10" spans="1:17" ht="15" customHeight="1" x14ac:dyDescent="0.2">
      <c r="A10" s="16">
        <v>20</v>
      </c>
      <c r="B10" s="17">
        <v>1365</v>
      </c>
      <c r="C10" s="17">
        <v>89</v>
      </c>
      <c r="D10" s="17">
        <v>15</v>
      </c>
      <c r="E10" s="18">
        <v>0.30000000000000004</v>
      </c>
      <c r="F10" s="17">
        <v>1.0468499999999998</v>
      </c>
      <c r="G10" s="18">
        <v>48.9</v>
      </c>
      <c r="H10" s="17">
        <v>51.190964999999991</v>
      </c>
      <c r="I10" s="17">
        <v>51.190964999999991</v>
      </c>
      <c r="J10" s="18">
        <v>48.9</v>
      </c>
      <c r="K10" s="19">
        <v>34.252313860463474</v>
      </c>
      <c r="L10" s="17">
        <v>1674.9381477766638</v>
      </c>
      <c r="N10" s="101">
        <v>2</v>
      </c>
      <c r="O10" s="101">
        <v>15</v>
      </c>
      <c r="P10" s="102">
        <v>125</v>
      </c>
      <c r="Q10" s="102">
        <v>130</v>
      </c>
    </row>
    <row r="11" spans="1:17" ht="15" customHeight="1" x14ac:dyDescent="0.2">
      <c r="A11" s="10">
        <v>21</v>
      </c>
      <c r="B11" s="13">
        <v>1405</v>
      </c>
      <c r="C11" s="13">
        <v>95</v>
      </c>
      <c r="D11" s="13">
        <v>50</v>
      </c>
      <c r="E11" s="14">
        <v>0.4</v>
      </c>
      <c r="F11" s="13">
        <v>4.5328499999999998</v>
      </c>
      <c r="G11" s="14">
        <v>51.4</v>
      </c>
      <c r="H11" s="13">
        <v>179.18039999999999</v>
      </c>
      <c r="I11" s="13">
        <v>230.37136499999997</v>
      </c>
      <c r="J11" s="14">
        <v>50.82263145703034</v>
      </c>
      <c r="K11" s="15">
        <v>10.486324982273732</v>
      </c>
      <c r="L11" s="13">
        <v>532.94262991274809</v>
      </c>
      <c r="N11" s="101">
        <v>3</v>
      </c>
      <c r="O11" s="101">
        <v>22</v>
      </c>
      <c r="P11" s="102">
        <v>190</v>
      </c>
      <c r="Q11" s="102">
        <v>200.45</v>
      </c>
    </row>
    <row r="12" spans="1:17" ht="15" customHeight="1" x14ac:dyDescent="0.2">
      <c r="A12" s="10">
        <v>22</v>
      </c>
      <c r="B12" s="13">
        <v>1450</v>
      </c>
      <c r="C12" s="13">
        <v>99</v>
      </c>
      <c r="D12" s="13">
        <v>78</v>
      </c>
      <c r="E12" s="14">
        <v>0.5</v>
      </c>
      <c r="F12" s="13">
        <v>9.9655500000000004</v>
      </c>
      <c r="G12" s="14">
        <v>53</v>
      </c>
      <c r="H12" s="13">
        <v>287.93310000000002</v>
      </c>
      <c r="I12" s="13">
        <v>518.30446499999994</v>
      </c>
      <c r="J12" s="14">
        <v>52.009619639658617</v>
      </c>
      <c r="K12" s="15">
        <v>5.9912352867729988</v>
      </c>
      <c r="L12" s="13">
        <v>311.60186843676468</v>
      </c>
      <c r="N12" s="101">
        <v>4</v>
      </c>
      <c r="O12" s="101">
        <v>31</v>
      </c>
      <c r="P12" s="102">
        <v>270</v>
      </c>
      <c r="Q12" s="102">
        <v>284.85000000000002</v>
      </c>
    </row>
    <row r="13" spans="1:17" ht="15" customHeight="1" x14ac:dyDescent="0.2">
      <c r="A13" s="10">
        <v>23</v>
      </c>
      <c r="B13" s="13">
        <v>1485</v>
      </c>
      <c r="C13" s="13">
        <v>103</v>
      </c>
      <c r="D13" s="13">
        <v>86</v>
      </c>
      <c r="E13" s="14">
        <v>0.6</v>
      </c>
      <c r="F13" s="13">
        <v>15.94943</v>
      </c>
      <c r="G13" s="14">
        <v>54.5</v>
      </c>
      <c r="H13" s="13">
        <v>326.12146000000001</v>
      </c>
      <c r="I13" s="13">
        <v>844.42592500000001</v>
      </c>
      <c r="J13" s="14">
        <v>52.943956304394582</v>
      </c>
      <c r="K13" s="15">
        <v>4.5261021563259085</v>
      </c>
      <c r="L13" s="13">
        <v>239.62975479374498</v>
      </c>
      <c r="N13" s="101">
        <v>5</v>
      </c>
      <c r="O13" s="101">
        <v>35</v>
      </c>
      <c r="P13" s="102">
        <v>345</v>
      </c>
      <c r="Q13" s="102">
        <v>365</v>
      </c>
    </row>
    <row r="14" spans="1:17" ht="15" customHeight="1" x14ac:dyDescent="0.2">
      <c r="A14" s="16">
        <v>24</v>
      </c>
      <c r="B14" s="17">
        <v>1515</v>
      </c>
      <c r="C14" s="17">
        <v>105</v>
      </c>
      <c r="D14" s="17">
        <v>90</v>
      </c>
      <c r="E14" s="18">
        <v>0.7</v>
      </c>
      <c r="F14" s="17">
        <v>22.20533</v>
      </c>
      <c r="G14" s="18">
        <v>55.6</v>
      </c>
      <c r="H14" s="17">
        <v>347.82804000000004</v>
      </c>
      <c r="I14" s="17">
        <v>1192.2539650000001</v>
      </c>
      <c r="J14" s="18">
        <v>53.692242583199622</v>
      </c>
      <c r="K14" s="19">
        <v>3.8178216501045563</v>
      </c>
      <c r="L14" s="17">
        <v>204.98740617680531</v>
      </c>
      <c r="N14" s="101">
        <v>6</v>
      </c>
      <c r="O14" s="101">
        <v>41</v>
      </c>
      <c r="P14" s="102">
        <v>425</v>
      </c>
      <c r="Q14" s="102">
        <v>450</v>
      </c>
    </row>
    <row r="15" spans="1:17" ht="15" customHeight="1" x14ac:dyDescent="0.2">
      <c r="A15" s="10">
        <v>25</v>
      </c>
      <c r="B15" s="13">
        <v>1545</v>
      </c>
      <c r="C15" s="13">
        <v>107</v>
      </c>
      <c r="D15" s="13">
        <v>93.6</v>
      </c>
      <c r="E15" s="14">
        <v>0.79999999999999993</v>
      </c>
      <c r="F15" s="13">
        <v>28.704913999999999</v>
      </c>
      <c r="G15" s="14">
        <v>56.8</v>
      </c>
      <c r="H15" s="13">
        <v>369.17637119999995</v>
      </c>
      <c r="I15" s="13">
        <v>1561.4303362000001</v>
      </c>
      <c r="J15" s="14">
        <v>54.395924551454854</v>
      </c>
      <c r="K15" s="15">
        <v>3.3910068718696897</v>
      </c>
      <c r="L15" s="13">
        <v>184.45695395568856</v>
      </c>
      <c r="N15" s="101">
        <v>7</v>
      </c>
      <c r="O15" s="101">
        <v>45</v>
      </c>
      <c r="P15" s="102">
        <v>500</v>
      </c>
      <c r="Q15" s="102">
        <v>530</v>
      </c>
    </row>
    <row r="16" spans="1:17" ht="15" customHeight="1" x14ac:dyDescent="0.2">
      <c r="A16" s="10">
        <v>26</v>
      </c>
      <c r="B16" s="13">
        <v>1575</v>
      </c>
      <c r="C16" s="13">
        <v>108</v>
      </c>
      <c r="D16" s="13">
        <v>94.2</v>
      </c>
      <c r="E16" s="14">
        <v>0.89999999999999991</v>
      </c>
      <c r="F16" s="13">
        <v>35.239567999999998</v>
      </c>
      <c r="G16" s="14">
        <v>57.699999999999996</v>
      </c>
      <c r="H16" s="13">
        <v>377.04953579999994</v>
      </c>
      <c r="I16" s="13">
        <v>1938.4798719999999</v>
      </c>
      <c r="J16" s="14">
        <v>55.008616223672206</v>
      </c>
      <c r="K16" s="15">
        <v>3.1179157892231135</v>
      </c>
      <c r="L16" s="13">
        <v>171.5122330671023</v>
      </c>
      <c r="N16" s="101">
        <v>8</v>
      </c>
      <c r="O16" s="101">
        <v>48</v>
      </c>
      <c r="P16" s="102">
        <v>575</v>
      </c>
      <c r="Q16" s="102">
        <v>605</v>
      </c>
    </row>
    <row r="17" spans="1:17" ht="15" customHeight="1" x14ac:dyDescent="0.2">
      <c r="A17" s="10">
        <v>27</v>
      </c>
      <c r="B17" s="13">
        <v>1600</v>
      </c>
      <c r="C17" s="13">
        <v>108</v>
      </c>
      <c r="D17" s="13">
        <v>94.5</v>
      </c>
      <c r="E17" s="14">
        <v>0.99999999999999989</v>
      </c>
      <c r="F17" s="13">
        <v>41.788418</v>
      </c>
      <c r="G17" s="14">
        <v>58.4</v>
      </c>
      <c r="H17" s="13">
        <v>382.45283999999992</v>
      </c>
      <c r="I17" s="13">
        <v>2320.9327119999998</v>
      </c>
      <c r="J17" s="14">
        <v>55.54009515268082</v>
      </c>
      <c r="K17" s="15">
        <v>2.9266066029750548</v>
      </c>
      <c r="L17" s="13">
        <v>162.54400920369849</v>
      </c>
      <c r="N17" s="101">
        <v>9</v>
      </c>
      <c r="O17" s="101">
        <v>51</v>
      </c>
      <c r="P17" s="102">
        <v>655</v>
      </c>
      <c r="Q17" s="102">
        <v>690</v>
      </c>
    </row>
    <row r="18" spans="1:17" ht="15" customHeight="1" x14ac:dyDescent="0.2">
      <c r="A18" s="16">
        <v>28</v>
      </c>
      <c r="B18" s="17">
        <v>1625</v>
      </c>
      <c r="C18" s="17">
        <v>108</v>
      </c>
      <c r="D18" s="17">
        <v>94.5</v>
      </c>
      <c r="E18" s="18">
        <v>1.0999999999999999</v>
      </c>
      <c r="F18" s="17">
        <v>48.330652999999998</v>
      </c>
      <c r="G18" s="18">
        <v>59</v>
      </c>
      <c r="H18" s="17">
        <v>385.99186500000002</v>
      </c>
      <c r="I18" s="17">
        <v>2706.9245769999998</v>
      </c>
      <c r="J18" s="18">
        <v>56.00844203367167</v>
      </c>
      <c r="K18" s="19">
        <v>2.7855009570885438</v>
      </c>
      <c r="L18" s="17">
        <v>156.01156888983067</v>
      </c>
      <c r="N18" s="101">
        <v>10</v>
      </c>
      <c r="O18" s="101">
        <v>53</v>
      </c>
      <c r="P18" s="102">
        <v>725</v>
      </c>
      <c r="Q18" s="102">
        <v>764.875</v>
      </c>
    </row>
    <row r="19" spans="1:17" ht="15" customHeight="1" x14ac:dyDescent="0.2">
      <c r="A19" s="10">
        <v>29</v>
      </c>
      <c r="B19" s="13">
        <v>1635</v>
      </c>
      <c r="C19" s="13">
        <v>108</v>
      </c>
      <c r="D19" s="13">
        <v>94.5</v>
      </c>
      <c r="E19" s="14">
        <v>1.2</v>
      </c>
      <c r="F19" s="13">
        <v>54.866273</v>
      </c>
      <c r="G19" s="14">
        <v>59.5</v>
      </c>
      <c r="H19" s="13">
        <v>388.86939000000007</v>
      </c>
      <c r="I19" s="13">
        <v>3095.7939669999996</v>
      </c>
      <c r="J19" s="14">
        <v>56.424353208755399</v>
      </c>
      <c r="K19" s="15">
        <v>2.6768800147351675</v>
      </c>
      <c r="L19" s="13">
        <v>151.04122344887543</v>
      </c>
      <c r="N19" s="101">
        <v>11</v>
      </c>
      <c r="O19" s="101">
        <v>55</v>
      </c>
      <c r="P19" s="102">
        <v>795</v>
      </c>
      <c r="Q19" s="102">
        <v>840</v>
      </c>
    </row>
    <row r="20" spans="1:17" ht="15" customHeight="1" x14ac:dyDescent="0.2">
      <c r="A20" s="10">
        <v>30</v>
      </c>
      <c r="B20" s="13">
        <v>1645</v>
      </c>
      <c r="C20" s="13">
        <v>108</v>
      </c>
      <c r="D20" s="13">
        <v>94.5</v>
      </c>
      <c r="E20" s="14">
        <v>1.3</v>
      </c>
      <c r="F20" s="13">
        <v>61.395277999999998</v>
      </c>
      <c r="G20" s="14">
        <v>60</v>
      </c>
      <c r="H20" s="13">
        <v>391.74030000000005</v>
      </c>
      <c r="I20" s="13">
        <v>3487.5342669999995</v>
      </c>
      <c r="J20" s="14">
        <v>56.804600949929728</v>
      </c>
      <c r="K20" s="15">
        <v>2.5901511808715378</v>
      </c>
      <c r="L20" s="13">
        <v>147.13250422939697</v>
      </c>
      <c r="N20" s="101">
        <v>12</v>
      </c>
      <c r="O20" s="101">
        <v>57</v>
      </c>
      <c r="P20" s="102">
        <v>865</v>
      </c>
      <c r="Q20" s="102">
        <v>915</v>
      </c>
    </row>
    <row r="21" spans="1:17" ht="15" customHeight="1" x14ac:dyDescent="0.2">
      <c r="A21" s="10">
        <v>31</v>
      </c>
      <c r="B21" s="13">
        <v>1647</v>
      </c>
      <c r="C21" s="13">
        <v>108</v>
      </c>
      <c r="D21" s="13">
        <v>94.5</v>
      </c>
      <c r="E21" s="14">
        <v>1.4000000000000001</v>
      </c>
      <c r="F21" s="13">
        <v>67.917667999999992</v>
      </c>
      <c r="G21" s="14">
        <v>60.4</v>
      </c>
      <c r="H21" s="13">
        <v>393.9523559999999</v>
      </c>
      <c r="I21" s="13">
        <v>3881.4866229999993</v>
      </c>
      <c r="J21" s="14">
        <v>57.149880690838792</v>
      </c>
      <c r="K21" s="15">
        <v>2.5193071494967776</v>
      </c>
      <c r="L21" s="13">
        <v>143.97810301731801</v>
      </c>
      <c r="N21" s="101">
        <v>13</v>
      </c>
      <c r="O21" s="101">
        <v>60</v>
      </c>
      <c r="P21" s="102">
        <v>930</v>
      </c>
      <c r="Q21" s="102">
        <v>980</v>
      </c>
    </row>
    <row r="22" spans="1:17" ht="15" customHeight="1" x14ac:dyDescent="0.2">
      <c r="A22" s="16">
        <v>32</v>
      </c>
      <c r="B22" s="17">
        <v>1650</v>
      </c>
      <c r="C22" s="17">
        <v>108</v>
      </c>
      <c r="D22" s="17">
        <v>94.5</v>
      </c>
      <c r="E22" s="18">
        <v>1.5000000000000002</v>
      </c>
      <c r="F22" s="17">
        <v>74.433442999999997</v>
      </c>
      <c r="G22" s="18">
        <v>60.8</v>
      </c>
      <c r="H22" s="17">
        <v>396.15911999999997</v>
      </c>
      <c r="I22" s="17">
        <v>4277.6457429999991</v>
      </c>
      <c r="J22" s="18">
        <v>57.469405828775102</v>
      </c>
      <c r="K22" s="19">
        <v>2.460072112614867</v>
      </c>
      <c r="L22" s="17">
        <v>141.37888260791593</v>
      </c>
      <c r="N22" s="101">
        <v>14</v>
      </c>
      <c r="O22" s="101">
        <v>63</v>
      </c>
      <c r="P22" s="102">
        <v>990</v>
      </c>
      <c r="Q22" s="102">
        <v>1045</v>
      </c>
    </row>
    <row r="23" spans="1:17" ht="15" customHeight="1" x14ac:dyDescent="0.2">
      <c r="A23" s="10">
        <v>33</v>
      </c>
      <c r="B23" s="13">
        <v>1655</v>
      </c>
      <c r="C23" s="13">
        <v>108</v>
      </c>
      <c r="D23" s="13">
        <v>94.5</v>
      </c>
      <c r="E23" s="14">
        <v>1.6000000000000003</v>
      </c>
      <c r="F23" s="13">
        <v>80.942602999999991</v>
      </c>
      <c r="G23" s="14">
        <v>61.1</v>
      </c>
      <c r="H23" s="13">
        <v>397.70967600000012</v>
      </c>
      <c r="I23" s="13">
        <v>4675.3554189999995</v>
      </c>
      <c r="J23" s="14">
        <v>57.761367261687887</v>
      </c>
      <c r="K23" s="15">
        <v>2.4099175335871941</v>
      </c>
      <c r="L23" s="13">
        <v>139.20013172791099</v>
      </c>
      <c r="N23" s="101">
        <v>15</v>
      </c>
      <c r="O23" s="101">
        <v>66</v>
      </c>
      <c r="P23" s="102">
        <v>1055</v>
      </c>
      <c r="Q23" s="102">
        <v>1115</v>
      </c>
    </row>
    <row r="24" spans="1:17" ht="15" customHeight="1" x14ac:dyDescent="0.2">
      <c r="A24" s="10">
        <v>34</v>
      </c>
      <c r="B24" s="13">
        <v>1660</v>
      </c>
      <c r="C24" s="13">
        <v>108</v>
      </c>
      <c r="D24" s="13">
        <v>94.5</v>
      </c>
      <c r="E24" s="14">
        <v>1.7000000000000004</v>
      </c>
      <c r="F24" s="13">
        <v>87.445147999999989</v>
      </c>
      <c r="G24" s="14">
        <v>61.3</v>
      </c>
      <c r="H24" s="13">
        <v>398.60600850000003</v>
      </c>
      <c r="I24" s="13">
        <v>5073.9614274999994</v>
      </c>
      <c r="J24" s="14">
        <v>58.024505001695466</v>
      </c>
      <c r="K24" s="15">
        <v>2.3670595789132065</v>
      </c>
      <c r="L24" s="13">
        <v>137.34746037596051</v>
      </c>
      <c r="N24" s="101">
        <v>16</v>
      </c>
      <c r="O24" s="101">
        <v>69</v>
      </c>
      <c r="P24" s="102">
        <v>1125</v>
      </c>
      <c r="Q24" s="102">
        <v>1185</v>
      </c>
    </row>
    <row r="25" spans="1:17" ht="15" customHeight="1" x14ac:dyDescent="0.2">
      <c r="A25" s="10">
        <v>35</v>
      </c>
      <c r="B25" s="13">
        <v>1665</v>
      </c>
      <c r="C25" s="13">
        <v>108</v>
      </c>
      <c r="D25" s="13">
        <v>94.5</v>
      </c>
      <c r="E25" s="14">
        <v>1.8000000000000005</v>
      </c>
      <c r="F25" s="13">
        <v>93.94107799999999</v>
      </c>
      <c r="G25" s="14">
        <v>61.5</v>
      </c>
      <c r="H25" s="13">
        <v>399.49969499999997</v>
      </c>
      <c r="I25" s="13">
        <v>5473.461122499999</v>
      </c>
      <c r="J25" s="14">
        <v>58.264831946041745</v>
      </c>
      <c r="K25" s="15">
        <v>2.3299262961011382</v>
      </c>
      <c r="L25" s="13">
        <v>135.75276408899632</v>
      </c>
      <c r="N25" s="101">
        <v>17</v>
      </c>
      <c r="O25" s="101">
        <v>72</v>
      </c>
      <c r="P25" s="102">
        <v>1190</v>
      </c>
      <c r="Q25" s="102">
        <v>1255.45</v>
      </c>
    </row>
    <row r="26" spans="1:17" ht="15" customHeight="1" x14ac:dyDescent="0.2">
      <c r="A26" s="16">
        <v>36</v>
      </c>
      <c r="B26" s="17">
        <v>1669</v>
      </c>
      <c r="C26" s="17">
        <v>108</v>
      </c>
      <c r="D26" s="17">
        <v>94.5</v>
      </c>
      <c r="E26" s="18">
        <v>1.9000000000000006</v>
      </c>
      <c r="F26" s="17">
        <v>100.430393</v>
      </c>
      <c r="G26" s="18">
        <v>61.699999999999996</v>
      </c>
      <c r="H26" s="17">
        <v>400.39073550000001</v>
      </c>
      <c r="I26" s="17">
        <v>5873.8518579999991</v>
      </c>
      <c r="J26" s="18">
        <v>58.486795506216922</v>
      </c>
      <c r="K26" s="19">
        <v>2.2973676092326132</v>
      </c>
      <c r="L26" s="17">
        <v>134.36566956379431</v>
      </c>
      <c r="N26" s="103">
        <v>18</v>
      </c>
      <c r="O26" s="103">
        <v>75</v>
      </c>
      <c r="P26" s="104">
        <v>1250</v>
      </c>
      <c r="Q26" s="104">
        <v>1320</v>
      </c>
    </row>
    <row r="27" spans="1:17" ht="15" customHeight="1" x14ac:dyDescent="0.2">
      <c r="A27" s="10">
        <v>37</v>
      </c>
      <c r="B27" s="13">
        <v>1673</v>
      </c>
      <c r="C27" s="13">
        <v>108</v>
      </c>
      <c r="D27" s="13">
        <v>94.5</v>
      </c>
      <c r="E27" s="14">
        <v>2.0000000000000004</v>
      </c>
      <c r="F27" s="13">
        <v>106.91309299999999</v>
      </c>
      <c r="G27" s="14">
        <v>61.9</v>
      </c>
      <c r="H27" s="13">
        <v>401.27913000000001</v>
      </c>
      <c r="I27" s="13">
        <v>6275.130987999999</v>
      </c>
      <c r="J27" s="14">
        <v>58.693755946243172</v>
      </c>
      <c r="K27" s="15">
        <v>2.2685226853785641</v>
      </c>
      <c r="L27" s="13">
        <v>133.14811685412565</v>
      </c>
    </row>
    <row r="28" spans="1:17" ht="15" customHeight="1" x14ac:dyDescent="0.2">
      <c r="A28" s="10">
        <v>38</v>
      </c>
      <c r="B28" s="13">
        <v>1677</v>
      </c>
      <c r="C28" s="13">
        <v>108</v>
      </c>
      <c r="D28" s="13">
        <v>94.5</v>
      </c>
      <c r="E28" s="14">
        <v>2.1000000000000005</v>
      </c>
      <c r="F28" s="13">
        <v>113.38917799999999</v>
      </c>
      <c r="G28" s="14">
        <v>62</v>
      </c>
      <c r="H28" s="13">
        <v>401.51727</v>
      </c>
      <c r="I28" s="13">
        <v>6676.6482579999993</v>
      </c>
      <c r="J28" s="14">
        <v>58.882588054390872</v>
      </c>
      <c r="K28" s="15">
        <v>2.2429519155897402</v>
      </c>
      <c r="L28" s="13">
        <v>132.07081367147754</v>
      </c>
    </row>
    <row r="29" spans="1:17" ht="15" customHeight="1" x14ac:dyDescent="0.2">
      <c r="A29" s="10">
        <v>39</v>
      </c>
      <c r="B29" s="13">
        <v>1681</v>
      </c>
      <c r="C29" s="13">
        <v>108</v>
      </c>
      <c r="D29" s="13">
        <v>94.5</v>
      </c>
      <c r="E29" s="14">
        <v>2.2000000000000006</v>
      </c>
      <c r="F29" s="13">
        <v>119.85864799999999</v>
      </c>
      <c r="G29" s="14">
        <v>62.1</v>
      </c>
      <c r="H29" s="13">
        <v>401.75408699999997</v>
      </c>
      <c r="I29" s="13">
        <v>7078.4023449999995</v>
      </c>
      <c r="J29" s="14">
        <v>59.056250534379465</v>
      </c>
      <c r="K29" s="15">
        <v>2.2201011236808976</v>
      </c>
      <c r="L29" s="13">
        <v>131.11084817175646</v>
      </c>
    </row>
    <row r="30" spans="1:17" ht="15" customHeight="1" x14ac:dyDescent="0.2">
      <c r="A30" s="16">
        <v>40</v>
      </c>
      <c r="B30" s="17">
        <v>1685</v>
      </c>
      <c r="C30" s="17">
        <v>108</v>
      </c>
      <c r="D30" s="17">
        <v>94.5</v>
      </c>
      <c r="E30" s="18">
        <v>2.3000000000000007</v>
      </c>
      <c r="F30" s="17">
        <v>126.32150299999999</v>
      </c>
      <c r="G30" s="18">
        <v>62.199999999999996</v>
      </c>
      <c r="H30" s="17">
        <v>401.98958099999999</v>
      </c>
      <c r="I30" s="17">
        <v>7480.3919259999993</v>
      </c>
      <c r="J30" s="18">
        <v>59.217090901776238</v>
      </c>
      <c r="K30" s="19">
        <v>2.1995346183416009</v>
      </c>
      <c r="L30" s="17">
        <v>130.25004143593827</v>
      </c>
    </row>
    <row r="31" spans="1:17" ht="15" customHeight="1" x14ac:dyDescent="0.2">
      <c r="A31" s="10">
        <v>41</v>
      </c>
      <c r="B31" s="13">
        <v>1685.5</v>
      </c>
      <c r="C31" s="13">
        <v>108</v>
      </c>
      <c r="D31" s="13">
        <v>94.5</v>
      </c>
      <c r="E31" s="14">
        <v>2.4000000000000008</v>
      </c>
      <c r="F31" s="13">
        <v>132.77774299999999</v>
      </c>
      <c r="G31" s="14">
        <v>62.3</v>
      </c>
      <c r="H31" s="13">
        <v>402.22375199999999</v>
      </c>
      <c r="I31" s="13">
        <v>7882.6156779999992</v>
      </c>
      <c r="J31" s="14">
        <v>59.366995551355323</v>
      </c>
      <c r="K31" s="15">
        <v>2.1809051338098233</v>
      </c>
      <c r="L31" s="13">
        <v>129.47378537681578</v>
      </c>
    </row>
    <row r="32" spans="1:17" ht="15" customHeight="1" x14ac:dyDescent="0.2">
      <c r="A32" s="10">
        <v>42</v>
      </c>
      <c r="B32" s="13">
        <v>1686</v>
      </c>
      <c r="C32" s="13">
        <v>108</v>
      </c>
      <c r="D32" s="13">
        <v>94.5</v>
      </c>
      <c r="E32" s="14">
        <v>2.5000000000000009</v>
      </c>
      <c r="F32" s="13">
        <v>139.22736799999998</v>
      </c>
      <c r="G32" s="14">
        <v>62.5</v>
      </c>
      <c r="H32" s="13">
        <v>403.1015625</v>
      </c>
      <c r="I32" s="13">
        <v>8285.7172404999983</v>
      </c>
      <c r="J32" s="14">
        <v>59.512130118699069</v>
      </c>
      <c r="K32" s="15">
        <v>2.1637640387204575</v>
      </c>
      <c r="L32" s="13">
        <v>128.77020701849366</v>
      </c>
    </row>
    <row r="33" spans="1:12" ht="15" customHeight="1" x14ac:dyDescent="0.2">
      <c r="A33" s="10">
        <v>43</v>
      </c>
      <c r="B33" s="13">
        <v>1686.5</v>
      </c>
      <c r="C33" s="13">
        <v>108</v>
      </c>
      <c r="D33" s="13">
        <v>94.4</v>
      </c>
      <c r="E33" s="14">
        <v>2.600000000000001</v>
      </c>
      <c r="F33" s="13">
        <v>145.66355999999999</v>
      </c>
      <c r="G33" s="14">
        <v>62.699999999999996</v>
      </c>
      <c r="H33" s="13">
        <v>403.54923840000004</v>
      </c>
      <c r="I33" s="13">
        <v>8689.2664788999991</v>
      </c>
      <c r="J33" s="14">
        <v>59.652987191168471</v>
      </c>
      <c r="K33" s="15">
        <v>2.1480157209268622</v>
      </c>
      <c r="L33" s="13">
        <v>128.13555428687863</v>
      </c>
    </row>
    <row r="34" spans="1:12" ht="15" customHeight="1" x14ac:dyDescent="0.2">
      <c r="A34" s="16">
        <v>44</v>
      </c>
      <c r="B34" s="17">
        <v>1687</v>
      </c>
      <c r="C34" s="17">
        <v>108</v>
      </c>
      <c r="D34" s="17">
        <v>94.300000000000011</v>
      </c>
      <c r="E34" s="18">
        <v>2.7000000000000011</v>
      </c>
      <c r="F34" s="17">
        <v>152.086333</v>
      </c>
      <c r="G34" s="18">
        <v>62.9</v>
      </c>
      <c r="H34" s="17">
        <v>403.99242170000008</v>
      </c>
      <c r="I34" s="17">
        <v>9093.2589005999998</v>
      </c>
      <c r="J34" s="18">
        <v>59.790112110862715</v>
      </c>
      <c r="K34" s="19">
        <v>2.13347813056548</v>
      </c>
      <c r="L34" s="17">
        <v>127.56089661258386</v>
      </c>
    </row>
    <row r="35" spans="1:12" ht="15" customHeight="1" x14ac:dyDescent="0.2">
      <c r="A35" s="10">
        <v>45</v>
      </c>
      <c r="B35" s="13">
        <v>1687.5</v>
      </c>
      <c r="C35" s="13">
        <v>108</v>
      </c>
      <c r="D35" s="13">
        <v>94.100000000000009</v>
      </c>
      <c r="E35" s="14">
        <v>2.8000000000000012</v>
      </c>
      <c r="F35" s="13">
        <v>158.48889700000001</v>
      </c>
      <c r="G35" s="14">
        <v>63.1</v>
      </c>
      <c r="H35" s="13">
        <v>404.00178840000007</v>
      </c>
      <c r="I35" s="13">
        <v>9497.2606890000006</v>
      </c>
      <c r="J35" s="14">
        <v>59.92382349029787</v>
      </c>
      <c r="K35" s="15">
        <v>2.1200956422435628</v>
      </c>
      <c r="L35" s="13">
        <v>127.04423704835297</v>
      </c>
    </row>
    <row r="36" spans="1:12" ht="15" customHeight="1" x14ac:dyDescent="0.2">
      <c r="A36" s="10">
        <v>46</v>
      </c>
      <c r="B36" s="13">
        <v>1688</v>
      </c>
      <c r="C36" s="13">
        <v>108</v>
      </c>
      <c r="D36" s="13">
        <v>93.9</v>
      </c>
      <c r="E36" s="14">
        <v>2.9000000000000012</v>
      </c>
      <c r="F36" s="13">
        <v>164.87128000000001</v>
      </c>
      <c r="G36" s="14">
        <v>63.199999999999996</v>
      </c>
      <c r="H36" s="13">
        <v>403.36660560000001</v>
      </c>
      <c r="I36" s="13">
        <v>9900.6272946000008</v>
      </c>
      <c r="J36" s="14">
        <v>60.050648570205801</v>
      </c>
      <c r="K36" s="15">
        <v>2.1078641159820717</v>
      </c>
      <c r="L36" s="13">
        <v>126.5786072625869</v>
      </c>
    </row>
    <row r="37" spans="1:12" ht="15" customHeight="1" x14ac:dyDescent="0.2">
      <c r="A37" s="10">
        <v>47</v>
      </c>
      <c r="B37" s="13">
        <v>1688.5</v>
      </c>
      <c r="C37" s="13">
        <v>108</v>
      </c>
      <c r="D37" s="13">
        <v>93.7</v>
      </c>
      <c r="E37" s="14">
        <v>3.0000000000000013</v>
      </c>
      <c r="F37" s="13">
        <v>171.23351000000002</v>
      </c>
      <c r="G37" s="14">
        <v>63.3</v>
      </c>
      <c r="H37" s="13">
        <v>402.72915899999998</v>
      </c>
      <c r="I37" s="13">
        <v>10303.356453600001</v>
      </c>
      <c r="J37" s="14">
        <v>60.171379151195346</v>
      </c>
      <c r="K37" s="15">
        <v>2.0966465731127908</v>
      </c>
      <c r="L37" s="13">
        <v>126.15811589682414</v>
      </c>
    </row>
    <row r="38" spans="1:12" ht="15" customHeight="1" x14ac:dyDescent="0.2">
      <c r="A38" s="16">
        <v>48</v>
      </c>
      <c r="B38" s="17">
        <v>1689</v>
      </c>
      <c r="C38" s="17">
        <v>108</v>
      </c>
      <c r="D38" s="17">
        <v>93.5</v>
      </c>
      <c r="E38" s="18">
        <v>3.1000000000000014</v>
      </c>
      <c r="F38" s="17">
        <v>177.57561500000003</v>
      </c>
      <c r="G38" s="18">
        <v>63.4</v>
      </c>
      <c r="H38" s="17">
        <v>402.08945699999998</v>
      </c>
      <c r="I38" s="17">
        <v>10705.445910600001</v>
      </c>
      <c r="J38" s="18">
        <v>60.286689197725714</v>
      </c>
      <c r="K38" s="19">
        <v>2.0863270139812604</v>
      </c>
      <c r="L38" s="17">
        <v>125.7777482567074</v>
      </c>
    </row>
    <row r="39" spans="1:12" ht="15" customHeight="1" x14ac:dyDescent="0.2">
      <c r="A39" s="10">
        <v>49</v>
      </c>
      <c r="B39" s="13">
        <v>1689.5</v>
      </c>
      <c r="C39" s="13">
        <v>108</v>
      </c>
      <c r="D39" s="13">
        <v>93.2</v>
      </c>
      <c r="E39" s="14">
        <v>3.2000000000000015</v>
      </c>
      <c r="F39" s="13">
        <v>183.89084700000004</v>
      </c>
      <c r="G39" s="14">
        <v>63.6</v>
      </c>
      <c r="H39" s="13">
        <v>401.64875520000004</v>
      </c>
      <c r="I39" s="13">
        <v>11107.094665800001</v>
      </c>
      <c r="J39" s="14">
        <v>60.400475863815011</v>
      </c>
      <c r="K39" s="15">
        <v>2.0767689205914031</v>
      </c>
      <c r="L39" s="13">
        <v>125.43783106290219</v>
      </c>
    </row>
    <row r="40" spans="1:12" ht="15" customHeight="1" x14ac:dyDescent="0.2">
      <c r="A40" s="10">
        <v>50</v>
      </c>
      <c r="B40" s="13">
        <v>1690</v>
      </c>
      <c r="C40" s="13">
        <v>108</v>
      </c>
      <c r="D40" s="13">
        <v>92.9</v>
      </c>
      <c r="E40" s="14">
        <v>3.3000000000000016</v>
      </c>
      <c r="F40" s="13">
        <v>190.17924800000003</v>
      </c>
      <c r="G40" s="14">
        <v>63.699999999999996</v>
      </c>
      <c r="H40" s="13">
        <v>400.57114369999999</v>
      </c>
      <c r="I40" s="13">
        <v>11507.665809500002</v>
      </c>
      <c r="J40" s="14">
        <v>60.509576783582617</v>
      </c>
      <c r="K40" s="15">
        <v>2.0680059183117692</v>
      </c>
      <c r="L40" s="13">
        <v>125.13416290298926</v>
      </c>
    </row>
    <row r="41" spans="1:12" ht="15" customHeight="1" x14ac:dyDescent="0.2">
      <c r="A41" s="10">
        <v>51</v>
      </c>
      <c r="B41" s="13">
        <v>1690.5</v>
      </c>
      <c r="C41" s="13">
        <v>108</v>
      </c>
      <c r="D41" s="13">
        <v>92.600000000000009</v>
      </c>
      <c r="E41" s="14">
        <v>3.4000000000000017</v>
      </c>
      <c r="F41" s="13">
        <v>196.44086000000004</v>
      </c>
      <c r="G41" s="14">
        <v>63.8</v>
      </c>
      <c r="H41" s="13">
        <v>399.49084559999994</v>
      </c>
      <c r="I41" s="13">
        <v>11907.156655100001</v>
      </c>
      <c r="J41" s="14">
        <v>60.614460021708311</v>
      </c>
      <c r="K41" s="15">
        <v>2.0599558492828107</v>
      </c>
      <c r="L41" s="13">
        <v>124.86311147283712</v>
      </c>
    </row>
    <row r="42" spans="1:12" ht="15" customHeight="1" x14ac:dyDescent="0.2">
      <c r="A42" s="16">
        <v>52</v>
      </c>
      <c r="B42" s="17">
        <v>1691</v>
      </c>
      <c r="C42" s="17">
        <v>108</v>
      </c>
      <c r="D42" s="17">
        <v>92.300000000000011</v>
      </c>
      <c r="E42" s="18">
        <v>3.5000000000000018</v>
      </c>
      <c r="F42" s="17">
        <v>202.67572500000006</v>
      </c>
      <c r="G42" s="18">
        <v>63.9</v>
      </c>
      <c r="H42" s="17">
        <v>398.40787349999999</v>
      </c>
      <c r="I42" s="17">
        <v>12305.564528600002</v>
      </c>
      <c r="J42" s="18">
        <v>60.715532304621078</v>
      </c>
      <c r="K42" s="19">
        <v>2.0525476048902211</v>
      </c>
      <c r="L42" s="17">
        <v>124.62152041148485</v>
      </c>
    </row>
    <row r="43" spans="1:12" ht="15" customHeight="1" x14ac:dyDescent="0.2">
      <c r="A43" s="10">
        <v>53</v>
      </c>
      <c r="B43" s="13">
        <v>1691.5</v>
      </c>
      <c r="C43" s="13">
        <v>108</v>
      </c>
      <c r="D43" s="13">
        <v>92.000000000000014</v>
      </c>
      <c r="E43" s="14">
        <v>3.6000000000000019</v>
      </c>
      <c r="F43" s="13">
        <v>208.88388500000005</v>
      </c>
      <c r="G43" s="14">
        <v>64</v>
      </c>
      <c r="H43" s="13">
        <v>397.32224000000008</v>
      </c>
      <c r="I43" s="13">
        <v>12702.886768600001</v>
      </c>
      <c r="J43" s="14">
        <v>60.8131487433796</v>
      </c>
      <c r="K43" s="15">
        <v>2.0457193292658156</v>
      </c>
      <c r="L43" s="13">
        <v>124.40663385784879</v>
      </c>
    </row>
    <row r="44" spans="1:12" ht="15" customHeight="1" x14ac:dyDescent="0.2">
      <c r="A44" s="10">
        <v>54</v>
      </c>
      <c r="B44" s="13">
        <v>1692</v>
      </c>
      <c r="C44" s="13">
        <v>108</v>
      </c>
      <c r="D44" s="13">
        <v>91.700000000000017</v>
      </c>
      <c r="E44" s="14">
        <v>3.700000000000002</v>
      </c>
      <c r="F44" s="13">
        <v>215.06538200000006</v>
      </c>
      <c r="G44" s="14">
        <v>64.100000000000009</v>
      </c>
      <c r="H44" s="13">
        <v>396.23395770000013</v>
      </c>
      <c r="I44" s="13">
        <v>13099.120726300001</v>
      </c>
      <c r="J44" s="14">
        <v>60.907620763903317</v>
      </c>
      <c r="K44" s="15">
        <v>2.0394169622670417</v>
      </c>
      <c r="L44" s="13">
        <v>124.2160349172327</v>
      </c>
    </row>
    <row r="45" spans="1:12" ht="15" customHeight="1" x14ac:dyDescent="0.2">
      <c r="A45" s="10">
        <v>55</v>
      </c>
      <c r="B45" s="13">
        <v>1692.5</v>
      </c>
      <c r="C45" s="13">
        <v>108</v>
      </c>
      <c r="D45" s="13">
        <v>91.300000000000011</v>
      </c>
      <c r="E45" s="14">
        <v>3.800000000000002</v>
      </c>
      <c r="F45" s="13">
        <v>221.21352400000006</v>
      </c>
      <c r="G45" s="14">
        <v>64.2</v>
      </c>
      <c r="H45" s="13">
        <v>394.71071640000008</v>
      </c>
      <c r="I45" s="13">
        <v>13493.831442700002</v>
      </c>
      <c r="J45" s="14">
        <v>60.999125183232458</v>
      </c>
      <c r="K45" s="15">
        <v>2.0336582027520209</v>
      </c>
      <c r="L45" s="13">
        <v>124.05137128957807</v>
      </c>
    </row>
    <row r="46" spans="1:12" ht="15" customHeight="1" x14ac:dyDescent="0.2">
      <c r="A46" s="16">
        <v>56</v>
      </c>
      <c r="B46" s="17">
        <v>1693</v>
      </c>
      <c r="C46" s="17">
        <v>108</v>
      </c>
      <c r="D46" s="17">
        <v>90.9</v>
      </c>
      <c r="E46" s="18">
        <v>3.9000000000000021</v>
      </c>
      <c r="F46" s="17">
        <v>227.32836700000007</v>
      </c>
      <c r="G46" s="18">
        <v>64.3</v>
      </c>
      <c r="H46" s="17">
        <v>393.1844049</v>
      </c>
      <c r="I46" s="17">
        <v>13887.015847600002</v>
      </c>
      <c r="J46" s="18">
        <v>61.087914503868305</v>
      </c>
      <c r="K46" s="19">
        <v>2.0283952513000223</v>
      </c>
      <c r="L46" s="17">
        <v>123.91043569146822</v>
      </c>
    </row>
    <row r="47" spans="1:12" ht="15" customHeight="1" x14ac:dyDescent="0.2">
      <c r="A47" s="10">
        <v>57</v>
      </c>
      <c r="B47" s="13">
        <v>1693.5</v>
      </c>
      <c r="C47" s="13">
        <v>108</v>
      </c>
      <c r="D47" s="13">
        <v>90.5</v>
      </c>
      <c r="E47" s="14">
        <v>4.0000000000000018</v>
      </c>
      <c r="F47" s="13">
        <v>233.40996700000008</v>
      </c>
      <c r="G47" s="14">
        <v>64.400000000000006</v>
      </c>
      <c r="H47" s="13">
        <v>391.65503999999999</v>
      </c>
      <c r="I47" s="13">
        <v>14278.670887600001</v>
      </c>
      <c r="J47" s="14">
        <v>61.17421235743543</v>
      </c>
      <c r="K47" s="15">
        <v>2.0235858944751262</v>
      </c>
      <c r="L47" s="13">
        <v>123.79127323213231</v>
      </c>
    </row>
    <row r="48" spans="1:12" ht="15" customHeight="1" x14ac:dyDescent="0.2">
      <c r="A48" s="10">
        <v>58</v>
      </c>
      <c r="B48" s="13">
        <v>1694</v>
      </c>
      <c r="C48" s="13">
        <v>108</v>
      </c>
      <c r="D48" s="13">
        <v>90.1</v>
      </c>
      <c r="E48" s="14">
        <v>4.1000000000000014</v>
      </c>
      <c r="F48" s="13">
        <v>239.45838000000009</v>
      </c>
      <c r="G48" s="14">
        <v>64.5</v>
      </c>
      <c r="H48" s="13">
        <v>390.12263849999999</v>
      </c>
      <c r="I48" s="13">
        <v>14668.793526100002</v>
      </c>
      <c r="J48" s="14">
        <v>61.258217507777331</v>
      </c>
      <c r="K48" s="15">
        <v>2.0191927132452347</v>
      </c>
      <c r="L48" s="13">
        <v>123.69214641809563</v>
      </c>
    </row>
    <row r="49" spans="1:12" ht="15" customHeight="1" x14ac:dyDescent="0.2">
      <c r="A49" s="10">
        <v>59</v>
      </c>
      <c r="B49" s="13">
        <v>1694.5</v>
      </c>
      <c r="C49" s="13">
        <v>108</v>
      </c>
      <c r="D49" s="13">
        <v>89.699999999999989</v>
      </c>
      <c r="E49" s="14">
        <v>4.2000000000000011</v>
      </c>
      <c r="F49" s="13">
        <v>245.4736620000001</v>
      </c>
      <c r="G49" s="14">
        <v>64.600000000000009</v>
      </c>
      <c r="H49" s="13">
        <v>388.5872172</v>
      </c>
      <c r="I49" s="13">
        <v>15057.380743300002</v>
      </c>
      <c r="J49" s="14">
        <v>61.34010720588018</v>
      </c>
      <c r="K49" s="15">
        <v>2.0151824223148314</v>
      </c>
      <c r="L49" s="13">
        <v>123.61150582419707</v>
      </c>
    </row>
    <row r="50" spans="1:12" ht="15" customHeight="1" x14ac:dyDescent="0.2">
      <c r="A50" s="16">
        <v>60</v>
      </c>
      <c r="B50" s="17">
        <v>1695</v>
      </c>
      <c r="C50" s="17">
        <v>108</v>
      </c>
      <c r="D50" s="17">
        <v>89.299999999999983</v>
      </c>
      <c r="E50" s="18">
        <v>4.3000000000000007</v>
      </c>
      <c r="F50" s="17">
        <v>251.45586900000009</v>
      </c>
      <c r="G50" s="18">
        <v>64.7</v>
      </c>
      <c r="H50" s="17">
        <v>387.04879290000002</v>
      </c>
      <c r="I50" s="17">
        <v>15444.429536200001</v>
      </c>
      <c r="J50" s="18">
        <v>61.420040015848649</v>
      </c>
      <c r="K50" s="19">
        <v>2.0115253157899278</v>
      </c>
      <c r="L50" s="17">
        <v>123.54796538870994</v>
      </c>
    </row>
    <row r="51" spans="1:12" ht="15" customHeight="1" x14ac:dyDescent="0.2">
      <c r="A51" s="10">
        <v>61</v>
      </c>
      <c r="B51" s="13">
        <v>1696</v>
      </c>
      <c r="C51" s="13">
        <v>108</v>
      </c>
      <c r="D51" s="13">
        <v>88.799999999999983</v>
      </c>
      <c r="E51" s="14">
        <v>4.4000000000000004</v>
      </c>
      <c r="F51" s="13">
        <v>257.39836500000007</v>
      </c>
      <c r="G51" s="14">
        <v>64.800000000000011</v>
      </c>
      <c r="H51" s="13">
        <v>385.07374079999994</v>
      </c>
      <c r="I51" s="13">
        <v>15829.503277000002</v>
      </c>
      <c r="J51" s="14">
        <v>61.498072363435554</v>
      </c>
      <c r="K51" s="15">
        <v>2.0082498132578639</v>
      </c>
      <c r="L51" s="13">
        <v>123.50349233958804</v>
      </c>
    </row>
    <row r="52" spans="1:12" ht="15" customHeight="1" x14ac:dyDescent="0.2">
      <c r="A52" s="10">
        <v>62</v>
      </c>
      <c r="B52" s="13">
        <v>1697</v>
      </c>
      <c r="C52" s="13">
        <v>108</v>
      </c>
      <c r="D52" s="13">
        <v>88.299999999999983</v>
      </c>
      <c r="E52" s="14">
        <v>4.5</v>
      </c>
      <c r="F52" s="13">
        <v>263.30122000000006</v>
      </c>
      <c r="G52" s="14">
        <v>64.900000000000006</v>
      </c>
      <c r="H52" s="13">
        <v>383.09528949999998</v>
      </c>
      <c r="I52" s="13">
        <v>16212.598566500001</v>
      </c>
      <c r="J52" s="14">
        <v>61.574338951031052</v>
      </c>
      <c r="K52" s="15">
        <v>2.005327947068182</v>
      </c>
      <c r="L52" s="13">
        <v>123.47674272075149</v>
      </c>
    </row>
    <row r="53" spans="1:12" ht="15" customHeight="1" x14ac:dyDescent="0.2">
      <c r="A53" s="10">
        <v>63</v>
      </c>
      <c r="B53" s="13">
        <v>1698</v>
      </c>
      <c r="C53" s="13">
        <v>108</v>
      </c>
      <c r="D53" s="13">
        <v>87.799999999999983</v>
      </c>
      <c r="E53" s="14">
        <v>4.5999999999999996</v>
      </c>
      <c r="F53" s="13">
        <v>269.16450400000008</v>
      </c>
      <c r="G53" s="14">
        <v>65</v>
      </c>
      <c r="H53" s="13">
        <v>381.11345999999998</v>
      </c>
      <c r="I53" s="13">
        <v>16593.712026500001</v>
      </c>
      <c r="J53" s="14">
        <v>61.648961062488375</v>
      </c>
      <c r="K53" s="15">
        <v>2.0027345868680571</v>
      </c>
      <c r="L53" s="13">
        <v>123.4665065643276</v>
      </c>
    </row>
    <row r="54" spans="1:12" ht="15" customHeight="1" x14ac:dyDescent="0.2">
      <c r="A54" s="16">
        <v>64</v>
      </c>
      <c r="B54" s="17">
        <v>1699</v>
      </c>
      <c r="C54" s="17">
        <v>108</v>
      </c>
      <c r="D54" s="17">
        <v>87.299999999999983</v>
      </c>
      <c r="E54" s="18">
        <v>4.6999999999999993</v>
      </c>
      <c r="F54" s="17">
        <v>274.98828700000007</v>
      </c>
      <c r="G54" s="18">
        <v>65.100000000000009</v>
      </c>
      <c r="H54" s="17">
        <v>379.12827329999999</v>
      </c>
      <c r="I54" s="17">
        <v>16972.840299800002</v>
      </c>
      <c r="J54" s="18">
        <v>61.722048182364937</v>
      </c>
      <c r="K54" s="19">
        <v>2.0004470907795011</v>
      </c>
      <c r="L54" s="17">
        <v>123.47169172336415</v>
      </c>
    </row>
    <row r="55" spans="1:12" ht="15" customHeight="1" x14ac:dyDescent="0.2">
      <c r="A55" s="10">
        <v>65</v>
      </c>
      <c r="B55" s="13">
        <v>1700</v>
      </c>
      <c r="C55" s="13">
        <v>108</v>
      </c>
      <c r="D55" s="13">
        <v>86.799999999999983</v>
      </c>
      <c r="E55" s="14">
        <v>4.7999999999999989</v>
      </c>
      <c r="F55" s="13">
        <v>280.77263900000008</v>
      </c>
      <c r="G55" s="14">
        <v>65.2</v>
      </c>
      <c r="H55" s="13">
        <v>377.13975039999997</v>
      </c>
      <c r="I55" s="13">
        <v>17349.980050200003</v>
      </c>
      <c r="J55" s="14">
        <v>61.79369938607158</v>
      </c>
      <c r="K55" s="15">
        <v>1.9984450068344775</v>
      </c>
      <c r="L55" s="13">
        <v>123.49130999192546</v>
      </c>
    </row>
    <row r="56" spans="1:12" ht="15" customHeight="1" x14ac:dyDescent="0.2">
      <c r="A56" s="10">
        <v>66</v>
      </c>
      <c r="B56" s="13">
        <v>1701</v>
      </c>
      <c r="C56" s="13">
        <v>108</v>
      </c>
      <c r="D56" s="13">
        <v>86.199999999999989</v>
      </c>
      <c r="E56" s="14">
        <v>4.8999999999999986</v>
      </c>
      <c r="F56" s="13">
        <v>286.51097300000009</v>
      </c>
      <c r="G56" s="14">
        <v>65.2</v>
      </c>
      <c r="H56" s="13">
        <v>374.13937679999998</v>
      </c>
      <c r="I56" s="13">
        <v>17724.119427000005</v>
      </c>
      <c r="J56" s="14">
        <v>61.861921871313456</v>
      </c>
      <c r="K56" s="15">
        <v>1.996823432936575</v>
      </c>
      <c r="L56" s="13">
        <v>123.52733519913033</v>
      </c>
    </row>
    <row r="57" spans="1:12" ht="15" customHeight="1" x14ac:dyDescent="0.2">
      <c r="A57" s="10">
        <v>67</v>
      </c>
      <c r="B57" s="13">
        <v>1702</v>
      </c>
      <c r="C57" s="13">
        <v>108</v>
      </c>
      <c r="D57" s="13">
        <v>85.6</v>
      </c>
      <c r="E57" s="14">
        <v>4.9999999999999982</v>
      </c>
      <c r="F57" s="13">
        <v>292.20337300000011</v>
      </c>
      <c r="G57" s="14">
        <v>65.300000000000011</v>
      </c>
      <c r="H57" s="13">
        <v>371.71372000000002</v>
      </c>
      <c r="I57" s="13">
        <v>18095.833147000005</v>
      </c>
      <c r="J57" s="14">
        <v>61.92889890767961</v>
      </c>
      <c r="K57" s="15">
        <v>1.9954945819107788</v>
      </c>
      <c r="L57" s="13">
        <v>123.57878223397502</v>
      </c>
    </row>
    <row r="58" spans="1:12" ht="15" customHeight="1" x14ac:dyDescent="0.2">
      <c r="A58" s="16">
        <v>68</v>
      </c>
      <c r="B58" s="17">
        <v>1703</v>
      </c>
      <c r="C58" s="17">
        <v>108</v>
      </c>
      <c r="D58" s="17">
        <v>85</v>
      </c>
      <c r="E58" s="18">
        <v>5.0999999999999979</v>
      </c>
      <c r="F58" s="17">
        <v>297.8499230000001</v>
      </c>
      <c r="G58" s="18">
        <v>65.300000000000011</v>
      </c>
      <c r="H58" s="17">
        <v>368.71971500000006</v>
      </c>
      <c r="I58" s="17">
        <v>18464.552862000004</v>
      </c>
      <c r="J58" s="18">
        <v>61.992807236683412</v>
      </c>
      <c r="K58" s="19">
        <v>1.9945016418887156</v>
      </c>
      <c r="L58" s="17">
        <v>123.64475581885571</v>
      </c>
    </row>
    <row r="59" spans="1:12" ht="15" customHeight="1" x14ac:dyDescent="0.2">
      <c r="A59" s="10">
        <v>69</v>
      </c>
      <c r="B59" s="13">
        <v>1704</v>
      </c>
      <c r="C59" s="13">
        <v>108</v>
      </c>
      <c r="D59" s="13">
        <v>84.4</v>
      </c>
      <c r="E59" s="14">
        <v>5.1999999999999975</v>
      </c>
      <c r="F59" s="13">
        <v>303.45070700000008</v>
      </c>
      <c r="G59" s="14">
        <v>65.400000000000006</v>
      </c>
      <c r="H59" s="13">
        <v>366.29127360000001</v>
      </c>
      <c r="I59" s="13">
        <v>18830.844135600004</v>
      </c>
      <c r="J59" s="14">
        <v>62.055693729525565</v>
      </c>
      <c r="K59" s="15">
        <v>1.9937645242903352</v>
      </c>
      <c r="L59" s="13">
        <v>123.72444068815427</v>
      </c>
    </row>
    <row r="60" spans="1:12" ht="15" customHeight="1" x14ac:dyDescent="0.2">
      <c r="A60" s="10">
        <v>70</v>
      </c>
      <c r="B60" s="13">
        <v>1705</v>
      </c>
      <c r="C60" s="13">
        <v>108</v>
      </c>
      <c r="D60" s="13">
        <v>83.800000000000011</v>
      </c>
      <c r="E60" s="14">
        <v>5.2999999999999972</v>
      </c>
      <c r="F60" s="13">
        <v>309.00580900000006</v>
      </c>
      <c r="G60" s="14">
        <v>65.400000000000006</v>
      </c>
      <c r="H60" s="13">
        <v>363.30367080000008</v>
      </c>
      <c r="I60" s="13">
        <v>19194.147806400004</v>
      </c>
      <c r="J60" s="14">
        <v>62.115815455106869</v>
      </c>
      <c r="K60" s="15">
        <v>1.9933263714496716</v>
      </c>
      <c r="L60" s="13">
        <v>123.81709303076561</v>
      </c>
    </row>
    <row r="61" spans="1:12" ht="15" customHeight="1" x14ac:dyDescent="0.2">
      <c r="A61" s="10">
        <v>71</v>
      </c>
      <c r="B61" s="13">
        <v>1706</v>
      </c>
      <c r="C61" s="13">
        <v>108</v>
      </c>
      <c r="D61" s="13">
        <v>83.200000000000017</v>
      </c>
      <c r="E61" s="14">
        <v>5.3999999999999968</v>
      </c>
      <c r="F61" s="13">
        <v>314.51531300000005</v>
      </c>
      <c r="G61" s="14">
        <v>65.5</v>
      </c>
      <c r="H61" s="13">
        <v>360.87251200000003</v>
      </c>
      <c r="I61" s="13">
        <v>19555.020318400006</v>
      </c>
      <c r="J61" s="14">
        <v>62.175097714240714</v>
      </c>
      <c r="K61" s="15">
        <v>1.9931136028187448</v>
      </c>
      <c r="L61" s="13">
        <v>123.92203301083781</v>
      </c>
    </row>
    <row r="62" spans="1:12" ht="15" customHeight="1" x14ac:dyDescent="0.2">
      <c r="A62" s="16">
        <v>72</v>
      </c>
      <c r="B62" s="17">
        <v>1707</v>
      </c>
      <c r="C62" s="17">
        <v>108</v>
      </c>
      <c r="D62" s="17">
        <v>82.600000000000023</v>
      </c>
      <c r="E62" s="18">
        <v>5.4999999999999964</v>
      </c>
      <c r="F62" s="17">
        <v>319.97930300000007</v>
      </c>
      <c r="G62" s="18">
        <v>65.5</v>
      </c>
      <c r="H62" s="17">
        <v>357.89134500000011</v>
      </c>
      <c r="I62" s="17">
        <v>19912.911663400006</v>
      </c>
      <c r="J62" s="18">
        <v>62.231873989049852</v>
      </c>
      <c r="K62" s="19">
        <v>1.9931689383702718</v>
      </c>
      <c r="L62" s="17">
        <v>124.03863821154702</v>
      </c>
    </row>
    <row r="63" spans="1:12" ht="15" customHeight="1" x14ac:dyDescent="0.2">
      <c r="A63" s="10">
        <v>73</v>
      </c>
      <c r="B63" s="13">
        <v>1708</v>
      </c>
      <c r="C63" s="13">
        <v>108</v>
      </c>
      <c r="D63" s="13">
        <v>82.000000000000028</v>
      </c>
      <c r="E63" s="14">
        <v>5.5999999999999961</v>
      </c>
      <c r="F63" s="13">
        <v>325.39786300000009</v>
      </c>
      <c r="G63" s="14">
        <v>65.600000000000009</v>
      </c>
      <c r="H63" s="13">
        <v>355.45753600000018</v>
      </c>
      <c r="I63" s="13">
        <v>20268.369199400007</v>
      </c>
      <c r="J63" s="14">
        <v>62.287960383439895</v>
      </c>
      <c r="K63" s="15">
        <v>1.9934243649556191</v>
      </c>
      <c r="L63" s="13">
        <v>124.16633787173943</v>
      </c>
    </row>
    <row r="64" spans="1:12" ht="15" customHeight="1" x14ac:dyDescent="0.2">
      <c r="A64" s="10">
        <v>74</v>
      </c>
      <c r="B64" s="13">
        <v>1709</v>
      </c>
      <c r="C64" s="13">
        <v>108</v>
      </c>
      <c r="D64" s="13">
        <v>81.400000000000034</v>
      </c>
      <c r="E64" s="14">
        <v>5.6999999999999957</v>
      </c>
      <c r="F64" s="13">
        <v>330.7710770000001</v>
      </c>
      <c r="G64" s="14">
        <v>65.600000000000009</v>
      </c>
      <c r="H64" s="13">
        <v>352.48283840000028</v>
      </c>
      <c r="I64" s="13">
        <v>20620.852037800007</v>
      </c>
      <c r="J64" s="14">
        <v>62.341762843430232</v>
      </c>
      <c r="K64" s="15">
        <v>1.993921925467955</v>
      </c>
      <c r="L64" s="13">
        <v>124.30460780583901</v>
      </c>
    </row>
    <row r="65" spans="1:12" ht="15" customHeight="1" x14ac:dyDescent="0.2">
      <c r="A65" s="10">
        <v>75</v>
      </c>
      <c r="B65" s="13">
        <v>1710</v>
      </c>
      <c r="C65" s="13">
        <v>108</v>
      </c>
      <c r="D65" s="13">
        <v>80.80000000000004</v>
      </c>
      <c r="E65" s="14">
        <v>5.7999999999999954</v>
      </c>
      <c r="F65" s="13">
        <v>336.09902900000009</v>
      </c>
      <c r="G65" s="14">
        <v>65.7</v>
      </c>
      <c r="H65" s="13">
        <v>350.04644640000026</v>
      </c>
      <c r="I65" s="13">
        <v>20970.898484200006</v>
      </c>
      <c r="J65" s="14">
        <v>62.394998719856467</v>
      </c>
      <c r="K65" s="15">
        <v>1.9945984208313552</v>
      </c>
      <c r="L65" s="13">
        <v>124.45296591440014</v>
      </c>
    </row>
    <row r="66" spans="1:12" ht="15" customHeight="1" x14ac:dyDescent="0.2">
      <c r="A66" s="16">
        <v>76</v>
      </c>
      <c r="B66" s="17">
        <v>1711</v>
      </c>
      <c r="C66" s="17">
        <v>108</v>
      </c>
      <c r="D66" s="17">
        <v>80.200000000000045</v>
      </c>
      <c r="E66" s="18">
        <v>5.899999999999995</v>
      </c>
      <c r="F66" s="17">
        <v>341.3818030000001</v>
      </c>
      <c r="G66" s="18">
        <v>65.7</v>
      </c>
      <c r="H66" s="17">
        <v>347.07825180000026</v>
      </c>
      <c r="I66" s="17">
        <v>21317.976736000008</v>
      </c>
      <c r="J66" s="18">
        <v>62.44614255552456</v>
      </c>
      <c r="K66" s="19">
        <v>1.9954950475277589</v>
      </c>
      <c r="L66" s="17">
        <v>124.61096820676168</v>
      </c>
    </row>
    <row r="67" spans="1:12" ht="15" customHeight="1" x14ac:dyDescent="0.2">
      <c r="A67" s="10">
        <v>77</v>
      </c>
      <c r="B67" s="13">
        <v>1712</v>
      </c>
      <c r="C67" s="13">
        <v>108</v>
      </c>
      <c r="D67" s="13">
        <v>79.600000000000051</v>
      </c>
      <c r="E67" s="14">
        <v>5.9999999999999947</v>
      </c>
      <c r="F67" s="13">
        <v>346.61948300000012</v>
      </c>
      <c r="G67" s="14">
        <v>65.800000000000011</v>
      </c>
      <c r="H67" s="13">
        <v>344.63934400000022</v>
      </c>
      <c r="I67" s="13">
        <v>21662.616080000007</v>
      </c>
      <c r="J67" s="14">
        <v>62.496821853490559</v>
      </c>
      <c r="K67" s="15">
        <v>1.9965528097010885</v>
      </c>
      <c r="L67" s="13">
        <v>124.77820526897497</v>
      </c>
    </row>
    <row r="68" spans="1:12" ht="15" customHeight="1" x14ac:dyDescent="0.2">
      <c r="A68" s="10">
        <v>78</v>
      </c>
      <c r="B68" s="13">
        <v>1713</v>
      </c>
      <c r="C68" s="13">
        <v>108</v>
      </c>
      <c r="D68" s="13">
        <v>79.000000000000057</v>
      </c>
      <c r="E68" s="14">
        <v>6.0999999999999943</v>
      </c>
      <c r="F68" s="13">
        <v>351.81215300000014</v>
      </c>
      <c r="G68" s="14">
        <v>65.800000000000011</v>
      </c>
      <c r="H68" s="13">
        <v>341.67768600000028</v>
      </c>
      <c r="I68" s="13">
        <v>22004.293766000006</v>
      </c>
      <c r="J68" s="14">
        <v>62.545576036425317</v>
      </c>
      <c r="K68" s="15">
        <v>1.9978119483173591</v>
      </c>
      <c r="L68" s="13">
        <v>124.95429911996239</v>
      </c>
    </row>
    <row r="69" spans="1:12" ht="15" customHeight="1" x14ac:dyDescent="0.2">
      <c r="A69" s="10">
        <v>79</v>
      </c>
      <c r="B69" s="13">
        <v>1714</v>
      </c>
      <c r="C69" s="13">
        <v>108</v>
      </c>
      <c r="D69" s="13">
        <v>78.400000000000063</v>
      </c>
      <c r="E69" s="14">
        <v>6.199999999999994</v>
      </c>
      <c r="F69" s="13">
        <v>356.95989700000013</v>
      </c>
      <c r="G69" s="14">
        <v>65.900000000000006</v>
      </c>
      <c r="H69" s="13">
        <v>339.23632960000026</v>
      </c>
      <c r="I69" s="13">
        <v>22343.530095600006</v>
      </c>
      <c r="J69" s="14">
        <v>62.593950422391565</v>
      </c>
      <c r="K69" s="15">
        <v>1.9992171697522645</v>
      </c>
      <c r="L69" s="13">
        <v>125.13890040706723</v>
      </c>
    </row>
    <row r="70" spans="1:12" ht="15" customHeight="1" x14ac:dyDescent="0.2">
      <c r="A70" s="16">
        <v>80</v>
      </c>
      <c r="B70" s="17">
        <v>1715</v>
      </c>
      <c r="C70" s="17">
        <v>108</v>
      </c>
      <c r="D70" s="17">
        <v>77.800000000000068</v>
      </c>
      <c r="E70" s="18">
        <v>6.2999999999999936</v>
      </c>
      <c r="F70" s="17">
        <v>362.06279900000015</v>
      </c>
      <c r="G70" s="18">
        <v>65.900000000000006</v>
      </c>
      <c r="H70" s="17">
        <v>336.28124180000032</v>
      </c>
      <c r="I70" s="17">
        <v>22679.811337400006</v>
      </c>
      <c r="J70" s="18">
        <v>62.640545783882082</v>
      </c>
      <c r="K70" s="19">
        <v>2.0008076930150547</v>
      </c>
      <c r="L70" s="17">
        <v>125.33168589905303</v>
      </c>
    </row>
    <row r="71" spans="1:12" ht="15" customHeight="1" x14ac:dyDescent="0.2">
      <c r="A71" s="10">
        <v>81</v>
      </c>
      <c r="B71" s="13">
        <v>1715</v>
      </c>
      <c r="C71" s="13">
        <v>108</v>
      </c>
      <c r="D71" s="13">
        <v>77.100000000000065</v>
      </c>
      <c r="E71" s="14">
        <v>6.3999999999999932</v>
      </c>
      <c r="F71" s="13">
        <v>367.11439100000018</v>
      </c>
      <c r="G71" s="14">
        <v>66</v>
      </c>
      <c r="H71" s="13">
        <v>333.4050720000003</v>
      </c>
      <c r="I71" s="13">
        <v>23013.216409400007</v>
      </c>
      <c r="J71" s="14">
        <v>62.686772770506828</v>
      </c>
      <c r="K71" s="15">
        <v>2.0025691402778376</v>
      </c>
      <c r="L71" s="13">
        <v>125.534596653826</v>
      </c>
    </row>
    <row r="72" spans="1:12" ht="15" customHeight="1" x14ac:dyDescent="0.2">
      <c r="A72" s="10">
        <v>82</v>
      </c>
      <c r="B72" s="13">
        <v>1715</v>
      </c>
      <c r="C72" s="13">
        <v>108</v>
      </c>
      <c r="D72" s="13">
        <v>76.400000000000063</v>
      </c>
      <c r="E72" s="14">
        <v>6.4999999999999929</v>
      </c>
      <c r="F72" s="13">
        <v>372.11477100000019</v>
      </c>
      <c r="G72" s="14">
        <v>66</v>
      </c>
      <c r="H72" s="13">
        <v>330.02508000000029</v>
      </c>
      <c r="I72" s="13">
        <v>23343.241489400007</v>
      </c>
      <c r="J72" s="14">
        <v>62.731295042840408</v>
      </c>
      <c r="K72" s="15">
        <v>2.0045381024416891</v>
      </c>
      <c r="L72" s="13">
        <v>125.74727112888505</v>
      </c>
    </row>
    <row r="73" spans="1:12" ht="15" customHeight="1" x14ac:dyDescent="0.2">
      <c r="A73" s="10">
        <v>83</v>
      </c>
      <c r="B73" s="13">
        <v>1715</v>
      </c>
      <c r="C73" s="13">
        <v>108</v>
      </c>
      <c r="D73" s="13">
        <v>75.70000000000006</v>
      </c>
      <c r="E73" s="14">
        <v>6.5999999999999925</v>
      </c>
      <c r="F73" s="13">
        <v>377.06403700000021</v>
      </c>
      <c r="G73" s="14">
        <v>66.099999999999994</v>
      </c>
      <c r="H73" s="13">
        <v>327.14648260000024</v>
      </c>
      <c r="I73" s="13">
        <v>23670.387972000008</v>
      </c>
      <c r="J73" s="14">
        <v>62.775511980210389</v>
      </c>
      <c r="K73" s="15">
        <v>2.0066642361834783</v>
      </c>
      <c r="L73" s="13">
        <v>125.9693747987957</v>
      </c>
    </row>
    <row r="74" spans="1:12" ht="15" customHeight="1" x14ac:dyDescent="0.2">
      <c r="A74" s="16">
        <v>84</v>
      </c>
      <c r="B74" s="17">
        <v>1715</v>
      </c>
      <c r="C74" s="17">
        <v>108</v>
      </c>
      <c r="D74" s="17">
        <v>75.000000000000057</v>
      </c>
      <c r="E74" s="18">
        <v>6.6999999999999922</v>
      </c>
      <c r="F74" s="17">
        <v>381.96228700000023</v>
      </c>
      <c r="G74" s="18">
        <v>66.099999999999994</v>
      </c>
      <c r="H74" s="17">
        <v>323.77432500000026</v>
      </c>
      <c r="I74" s="17">
        <v>23994.162297000006</v>
      </c>
      <c r="J74" s="18">
        <v>62.8181449154429</v>
      </c>
      <c r="K74" s="19">
        <v>2.0089832019693779</v>
      </c>
      <c r="L74" s="17">
        <v>126.20059791400286</v>
      </c>
    </row>
    <row r="75" spans="1:12" ht="15" customHeight="1" x14ac:dyDescent="0.2">
      <c r="A75" s="10">
        <v>85</v>
      </c>
      <c r="B75" s="13">
        <v>1715</v>
      </c>
      <c r="C75" s="13">
        <v>108</v>
      </c>
      <c r="D75" s="13">
        <v>74.300000000000054</v>
      </c>
      <c r="E75" s="14">
        <v>6.7999999999999918</v>
      </c>
      <c r="F75" s="13">
        <v>386.80961900000023</v>
      </c>
      <c r="G75" s="14">
        <v>66.199999999999989</v>
      </c>
      <c r="H75" s="13">
        <v>320.89337840000019</v>
      </c>
      <c r="I75" s="13">
        <v>24315.055675400006</v>
      </c>
      <c r="J75" s="14">
        <v>62.860524870763342</v>
      </c>
      <c r="K75" s="15">
        <v>2.0114476254101934</v>
      </c>
      <c r="L75" s="13">
        <v>126.44065348333532</v>
      </c>
    </row>
    <row r="76" spans="1:12" ht="15" customHeight="1" x14ac:dyDescent="0.2">
      <c r="A76" s="10">
        <v>86</v>
      </c>
      <c r="B76" s="13">
        <v>1715</v>
      </c>
      <c r="C76" s="13">
        <v>108</v>
      </c>
      <c r="D76" s="13">
        <v>73.600000000000051</v>
      </c>
      <c r="E76" s="14">
        <v>6.8999999999999915</v>
      </c>
      <c r="F76" s="13">
        <v>391.60613100000023</v>
      </c>
      <c r="G76" s="14">
        <v>66.199999999999989</v>
      </c>
      <c r="H76" s="13">
        <v>317.52909440000019</v>
      </c>
      <c r="I76" s="13">
        <v>24632.584769800007</v>
      </c>
      <c r="J76" s="14">
        <v>62.901427786379557</v>
      </c>
      <c r="K76" s="15">
        <v>2.0140922060613615</v>
      </c>
      <c r="L76" s="13">
        <v>126.68927545467862</v>
      </c>
    </row>
    <row r="77" spans="1:12" ht="15" customHeight="1" x14ac:dyDescent="0.2">
      <c r="A77" s="10">
        <v>87</v>
      </c>
      <c r="B77" s="13">
        <v>1715</v>
      </c>
      <c r="C77" s="13">
        <v>108</v>
      </c>
      <c r="D77" s="13">
        <v>72.900000000000048</v>
      </c>
      <c r="E77" s="14">
        <v>6.9999999999999911</v>
      </c>
      <c r="F77" s="13">
        <v>396.35192100000023</v>
      </c>
      <c r="G77" s="14">
        <v>66.299999999999983</v>
      </c>
      <c r="H77" s="13">
        <v>314.64587700000016</v>
      </c>
      <c r="I77" s="13">
        <v>24947.230646800006</v>
      </c>
      <c r="J77" s="14">
        <v>62.942121193352286</v>
      </c>
      <c r="K77" s="15">
        <v>2.016872241747361</v>
      </c>
      <c r="L77" s="13">
        <v>126.9462170715705</v>
      </c>
    </row>
    <row r="78" spans="1:12" ht="15" customHeight="1" x14ac:dyDescent="0.2">
      <c r="A78" s="16">
        <v>88</v>
      </c>
      <c r="B78" s="17">
        <v>1715</v>
      </c>
      <c r="C78" s="17">
        <v>108</v>
      </c>
      <c r="D78" s="17">
        <v>72.200000000000045</v>
      </c>
      <c r="E78" s="18">
        <v>7.0999999999999908</v>
      </c>
      <c r="F78" s="17">
        <v>401.04708700000026</v>
      </c>
      <c r="G78" s="18">
        <v>66.299999999999983</v>
      </c>
      <c r="H78" s="17">
        <v>311.2895058000002</v>
      </c>
      <c r="I78" s="17">
        <v>25258.520152600006</v>
      </c>
      <c r="J78" s="18">
        <v>62.981432782729549</v>
      </c>
      <c r="K78" s="19">
        <v>2.0198214579387561</v>
      </c>
      <c r="L78" s="17">
        <v>127.21124938628456</v>
      </c>
    </row>
    <row r="79" spans="1:12" ht="15" customHeight="1" x14ac:dyDescent="0.2">
      <c r="A79" s="10">
        <v>89</v>
      </c>
      <c r="B79" s="13">
        <v>1715</v>
      </c>
      <c r="C79" s="13">
        <v>108</v>
      </c>
      <c r="D79" s="13">
        <v>71.500000000000043</v>
      </c>
      <c r="E79" s="14">
        <v>7.1999999999999904</v>
      </c>
      <c r="F79" s="13">
        <v>405.69172700000024</v>
      </c>
      <c r="G79" s="14">
        <v>66.399999999999977</v>
      </c>
      <c r="H79" s="13">
        <v>308.4040960000001</v>
      </c>
      <c r="I79" s="13">
        <v>25566.924248600004</v>
      </c>
      <c r="J79" s="14">
        <v>63.020570909004483</v>
      </c>
      <c r="K79" s="15">
        <v>2.022897572547548</v>
      </c>
      <c r="L79" s="13">
        <v>127.48415991238579</v>
      </c>
    </row>
    <row r="80" spans="1:12" ht="15" customHeight="1" x14ac:dyDescent="0.2">
      <c r="A80" s="20">
        <v>90</v>
      </c>
      <c r="B80" s="21">
        <v>1715</v>
      </c>
      <c r="C80" s="21">
        <v>108</v>
      </c>
      <c r="D80" s="21">
        <v>70.80000000000004</v>
      </c>
      <c r="E80" s="22">
        <v>7.2999999999999901</v>
      </c>
      <c r="F80" s="21">
        <v>410.28593900000027</v>
      </c>
      <c r="G80" s="22">
        <v>66.399999999999977</v>
      </c>
      <c r="H80" s="21">
        <v>305.05567680000013</v>
      </c>
      <c r="I80" s="21">
        <v>25871.979925400003</v>
      </c>
      <c r="J80" s="22">
        <v>63.058412356168965</v>
      </c>
      <c r="K80" s="23">
        <v>2.0261333361864664</v>
      </c>
      <c r="L80" s="21">
        <v>127.76475140182652</v>
      </c>
    </row>
    <row r="81" spans="1:12" x14ac:dyDescent="0.2">
      <c r="A81" s="543" t="s">
        <v>169</v>
      </c>
      <c r="B81" s="543"/>
      <c r="C81" s="543"/>
      <c r="D81" s="543"/>
      <c r="E81" s="543"/>
      <c r="F81" s="543"/>
      <c r="G81" s="543"/>
      <c r="H81" s="543"/>
      <c r="I81" s="543"/>
      <c r="J81" s="543"/>
      <c r="K81" s="543"/>
      <c r="L81" s="543"/>
    </row>
    <row r="82" spans="1:12" x14ac:dyDescent="0.2">
      <c r="A82" s="543" t="s">
        <v>170</v>
      </c>
      <c r="B82" s="543"/>
      <c r="C82" s="543"/>
      <c r="D82" s="543"/>
      <c r="E82" s="543"/>
      <c r="F82" s="543"/>
      <c r="G82" s="543"/>
      <c r="H82" s="543"/>
      <c r="I82" s="543"/>
      <c r="J82" s="543"/>
      <c r="K82" s="543"/>
      <c r="L82" s="543"/>
    </row>
    <row r="83" spans="1:12" x14ac:dyDescent="0.2">
      <c r="A83" s="543" t="s">
        <v>171</v>
      </c>
      <c r="B83" s="543"/>
      <c r="C83" s="543"/>
      <c r="D83" s="543"/>
      <c r="E83" s="543"/>
      <c r="F83" s="543"/>
      <c r="G83" s="543"/>
      <c r="H83" s="543"/>
      <c r="I83" s="543"/>
      <c r="J83" s="543"/>
      <c r="K83" s="543"/>
      <c r="L83" s="543"/>
    </row>
  </sheetData>
  <mergeCells count="5">
    <mergeCell ref="A1:L1"/>
    <mergeCell ref="N1:Q1"/>
    <mergeCell ref="A81:L81"/>
    <mergeCell ref="A82:L82"/>
    <mergeCell ref="A83:L83"/>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Q83"/>
  <sheetViews>
    <sheetView topLeftCell="A54" workbookViewId="0">
      <selection activeCell="J73" sqref="J73"/>
    </sheetView>
  </sheetViews>
  <sheetFormatPr baseColWidth="10" defaultRowHeight="12" x14ac:dyDescent="0.2"/>
  <cols>
    <col min="1" max="1" width="11.42578125" style="8"/>
    <col min="2" max="8" width="11.5703125" style="8" bestFit="1" customWidth="1"/>
    <col min="9" max="9" width="11.85546875" style="8" bestFit="1" customWidth="1"/>
    <col min="10" max="12" width="11.5703125" style="8" bestFit="1" customWidth="1"/>
    <col min="13" max="14" width="11.42578125" style="8"/>
    <col min="15" max="15" width="25" style="8" bestFit="1" customWidth="1"/>
    <col min="16" max="16" width="11.42578125" style="8"/>
    <col min="17" max="18" width="14.42578125" style="8" bestFit="1" customWidth="1"/>
    <col min="19" max="16384" width="11.42578125" style="8"/>
  </cols>
  <sheetData>
    <row r="1" spans="1:17" ht="26.25" x14ac:dyDescent="0.4">
      <c r="A1" s="542" t="s">
        <v>256</v>
      </c>
      <c r="B1" s="542"/>
      <c r="C1" s="542"/>
      <c r="D1" s="542"/>
      <c r="E1" s="542"/>
      <c r="F1" s="542"/>
      <c r="G1" s="542"/>
      <c r="H1" s="542"/>
      <c r="I1" s="542"/>
      <c r="J1" s="542"/>
      <c r="K1" s="542"/>
      <c r="L1" s="542"/>
      <c r="N1" s="542" t="s">
        <v>260</v>
      </c>
      <c r="O1" s="542"/>
      <c r="P1" s="542"/>
      <c r="Q1" s="542"/>
    </row>
    <row r="3" spans="1:17" ht="15" customHeight="1" x14ac:dyDescent="0.2">
      <c r="A3" s="9"/>
      <c r="B3" s="9"/>
      <c r="C3" s="9"/>
      <c r="D3" s="9"/>
      <c r="E3" s="9"/>
      <c r="F3" s="9"/>
      <c r="G3" s="9"/>
      <c r="H3" s="9"/>
      <c r="I3" s="9"/>
      <c r="J3" s="9"/>
      <c r="K3" s="9"/>
      <c r="L3" s="9"/>
    </row>
    <row r="4" spans="1:17" ht="15" customHeight="1" x14ac:dyDescent="0.2">
      <c r="A4" s="10"/>
      <c r="B4" s="11" t="s">
        <v>13</v>
      </c>
      <c r="C4" s="11" t="s">
        <v>149</v>
      </c>
      <c r="D4" s="11" t="s">
        <v>150</v>
      </c>
      <c r="E4" s="11" t="s">
        <v>151</v>
      </c>
      <c r="F4" s="11" t="s">
        <v>151</v>
      </c>
      <c r="G4" s="11" t="s">
        <v>152</v>
      </c>
      <c r="H4" s="11" t="s">
        <v>153</v>
      </c>
      <c r="I4" s="11" t="s">
        <v>151</v>
      </c>
      <c r="J4" s="11" t="s">
        <v>151</v>
      </c>
      <c r="K4" s="11" t="s">
        <v>154</v>
      </c>
      <c r="L4" s="11" t="s">
        <v>155</v>
      </c>
    </row>
    <row r="5" spans="1:17" ht="15" customHeight="1" x14ac:dyDescent="0.2">
      <c r="A5" s="10"/>
      <c r="B5" s="11" t="s">
        <v>156</v>
      </c>
      <c r="C5" s="11" t="s">
        <v>157</v>
      </c>
      <c r="D5" s="11"/>
      <c r="E5" s="11" t="s">
        <v>158</v>
      </c>
      <c r="F5" s="11" t="s">
        <v>159</v>
      </c>
      <c r="G5" s="11" t="s">
        <v>160</v>
      </c>
      <c r="H5" s="11" t="s">
        <v>161</v>
      </c>
      <c r="I5" s="11" t="s">
        <v>52</v>
      </c>
      <c r="J5" s="11" t="s">
        <v>162</v>
      </c>
      <c r="K5" s="11" t="s">
        <v>163</v>
      </c>
      <c r="L5" s="11" t="s">
        <v>163</v>
      </c>
    </row>
    <row r="6" spans="1:17" ht="15" customHeight="1" x14ac:dyDescent="0.2">
      <c r="A6" s="10"/>
      <c r="B6" s="11" t="s">
        <v>164</v>
      </c>
      <c r="C6" s="11" t="s">
        <v>164</v>
      </c>
      <c r="D6" s="11" t="s">
        <v>165</v>
      </c>
      <c r="E6" s="11" t="s">
        <v>165</v>
      </c>
      <c r="F6" s="11" t="s">
        <v>166</v>
      </c>
      <c r="G6" s="11" t="s">
        <v>164</v>
      </c>
      <c r="H6" s="11" t="s">
        <v>166</v>
      </c>
      <c r="I6" s="11" t="s">
        <v>166</v>
      </c>
      <c r="J6" s="11" t="s">
        <v>164</v>
      </c>
      <c r="K6" s="11" t="s">
        <v>167</v>
      </c>
      <c r="L6" s="11" t="s">
        <v>168</v>
      </c>
      <c r="O6" s="105" t="s">
        <v>257</v>
      </c>
      <c r="P6" s="540" t="s">
        <v>89</v>
      </c>
      <c r="Q6" s="541"/>
    </row>
    <row r="7" spans="1:17" ht="15" customHeight="1" x14ac:dyDescent="0.2">
      <c r="A7" s="10"/>
      <c r="B7" s="10"/>
      <c r="C7" s="10"/>
      <c r="D7" s="10"/>
      <c r="E7" s="10"/>
      <c r="F7" s="10"/>
      <c r="G7" s="10"/>
      <c r="H7" s="10"/>
      <c r="I7" s="10"/>
      <c r="J7" s="10"/>
      <c r="K7" s="10"/>
      <c r="L7" s="10"/>
      <c r="O7" s="98" t="s">
        <v>258</v>
      </c>
      <c r="P7" s="99" t="s">
        <v>156</v>
      </c>
      <c r="Q7" s="99" t="s">
        <v>259</v>
      </c>
    </row>
    <row r="8" spans="1:17" ht="15" customHeight="1" x14ac:dyDescent="0.2">
      <c r="A8" s="9">
        <v>18</v>
      </c>
      <c r="B8" s="12">
        <v>1230</v>
      </c>
      <c r="C8" s="12">
        <v>78</v>
      </c>
      <c r="D8" s="12">
        <v>0</v>
      </c>
      <c r="E8" s="12">
        <v>0.1</v>
      </c>
      <c r="F8" s="12">
        <v>0</v>
      </c>
      <c r="G8" s="12">
        <v>0</v>
      </c>
      <c r="H8" s="12">
        <v>0</v>
      </c>
      <c r="I8" s="12">
        <v>0</v>
      </c>
      <c r="J8" s="12">
        <v>0</v>
      </c>
      <c r="K8" s="12">
        <v>0</v>
      </c>
      <c r="L8" s="12">
        <v>0</v>
      </c>
      <c r="N8" s="100">
        <v>0</v>
      </c>
      <c r="O8" s="101"/>
      <c r="P8" s="102">
        <v>32</v>
      </c>
      <c r="Q8" s="102">
        <v>35</v>
      </c>
    </row>
    <row r="9" spans="1:17" ht="15" customHeight="1" x14ac:dyDescent="0.2">
      <c r="A9" s="10">
        <v>19</v>
      </c>
      <c r="B9" s="13">
        <v>1290</v>
      </c>
      <c r="C9" s="13">
        <v>83</v>
      </c>
      <c r="D9" s="13">
        <v>3</v>
      </c>
      <c r="E9" s="14">
        <v>0.2</v>
      </c>
      <c r="F9" s="13">
        <v>0.20957999999999999</v>
      </c>
      <c r="G9" s="14">
        <v>42</v>
      </c>
      <c r="H9" s="13">
        <v>8.8023600000000002</v>
      </c>
      <c r="I9" s="13">
        <v>8.8023600000000002</v>
      </c>
      <c r="J9" s="14">
        <v>42</v>
      </c>
      <c r="K9" s="15">
        <v>127.83980659732161</v>
      </c>
      <c r="L9" s="13">
        <v>5369.2718770875081</v>
      </c>
      <c r="N9" s="101">
        <v>1</v>
      </c>
      <c r="O9" s="101">
        <v>10</v>
      </c>
      <c r="P9" s="102">
        <v>70</v>
      </c>
      <c r="Q9" s="102">
        <v>75</v>
      </c>
    </row>
    <row r="10" spans="1:17" ht="15" customHeight="1" x14ac:dyDescent="0.2">
      <c r="A10" s="16">
        <v>20</v>
      </c>
      <c r="B10" s="17">
        <v>1335</v>
      </c>
      <c r="C10" s="17">
        <v>88</v>
      </c>
      <c r="D10" s="17">
        <v>25</v>
      </c>
      <c r="E10" s="18">
        <v>0.30000000000000004</v>
      </c>
      <c r="F10" s="17">
        <v>1.9543300000000001</v>
      </c>
      <c r="G10" s="18">
        <v>47.5</v>
      </c>
      <c r="H10" s="17">
        <v>82.875624999999999</v>
      </c>
      <c r="I10" s="17">
        <v>91.677985000000007</v>
      </c>
      <c r="J10" s="18">
        <v>46.910186611268315</v>
      </c>
      <c r="K10" s="19">
        <v>18.97341002859083</v>
      </c>
      <c r="L10" s="17">
        <v>890.0462050933055</v>
      </c>
      <c r="N10" s="101">
        <v>2</v>
      </c>
      <c r="O10" s="101">
        <v>15</v>
      </c>
      <c r="P10" s="102">
        <v>125</v>
      </c>
      <c r="Q10" s="102">
        <v>130</v>
      </c>
    </row>
    <row r="11" spans="1:17" ht="15" customHeight="1" x14ac:dyDescent="0.2">
      <c r="A11" s="10">
        <v>21</v>
      </c>
      <c r="B11" s="13">
        <v>1375</v>
      </c>
      <c r="C11" s="13">
        <v>94</v>
      </c>
      <c r="D11" s="13">
        <v>60</v>
      </c>
      <c r="E11" s="14">
        <v>0.4</v>
      </c>
      <c r="F11" s="13">
        <v>6.1375299999999999</v>
      </c>
      <c r="G11" s="14">
        <v>50</v>
      </c>
      <c r="H11" s="13">
        <v>209.16000000000003</v>
      </c>
      <c r="I11" s="13">
        <v>300.837985</v>
      </c>
      <c r="J11" s="14">
        <v>49.016132711367604</v>
      </c>
      <c r="K11" s="15">
        <v>7.9604708162102593</v>
      </c>
      <c r="L11" s="13">
        <v>390.19149397233087</v>
      </c>
      <c r="N11" s="101">
        <v>3</v>
      </c>
      <c r="O11" s="101">
        <v>22</v>
      </c>
      <c r="P11" s="102">
        <v>190</v>
      </c>
      <c r="Q11" s="102">
        <v>200.45</v>
      </c>
    </row>
    <row r="12" spans="1:17" ht="15" customHeight="1" x14ac:dyDescent="0.2">
      <c r="A12" s="10">
        <v>22</v>
      </c>
      <c r="B12" s="13">
        <v>1420</v>
      </c>
      <c r="C12" s="13">
        <v>98</v>
      </c>
      <c r="D12" s="13">
        <v>82</v>
      </c>
      <c r="E12" s="14">
        <v>0.5</v>
      </c>
      <c r="F12" s="13">
        <v>11.84883</v>
      </c>
      <c r="G12" s="14">
        <v>51.599999999999994</v>
      </c>
      <c r="H12" s="13">
        <v>294.70308</v>
      </c>
      <c r="I12" s="13">
        <v>595.541065</v>
      </c>
      <c r="J12" s="14">
        <v>50.261592494786406</v>
      </c>
      <c r="K12" s="15">
        <v>5.1673716236511753</v>
      </c>
      <c r="L12" s="13">
        <v>259.72032681707816</v>
      </c>
      <c r="N12" s="101">
        <v>4</v>
      </c>
      <c r="O12" s="101">
        <v>31</v>
      </c>
      <c r="P12" s="102">
        <v>270</v>
      </c>
      <c r="Q12" s="102">
        <v>284.85000000000002</v>
      </c>
    </row>
    <row r="13" spans="1:17" ht="15" customHeight="1" x14ac:dyDescent="0.2">
      <c r="A13" s="10">
        <v>23</v>
      </c>
      <c r="B13" s="13">
        <v>1455</v>
      </c>
      <c r="C13" s="13">
        <v>102</v>
      </c>
      <c r="D13" s="13">
        <v>90</v>
      </c>
      <c r="E13" s="14">
        <v>0.6</v>
      </c>
      <c r="F13" s="13">
        <v>18.11103</v>
      </c>
      <c r="G13" s="14">
        <v>53.099999999999994</v>
      </c>
      <c r="H13" s="13">
        <v>332.52281999999997</v>
      </c>
      <c r="I13" s="13">
        <v>928.06388500000003</v>
      </c>
      <c r="J13" s="14">
        <v>51.243020689601863</v>
      </c>
      <c r="K13" s="15">
        <v>4.0806436509486623</v>
      </c>
      <c r="L13" s="13">
        <v>209.10450703245482</v>
      </c>
      <c r="N13" s="101">
        <v>5</v>
      </c>
      <c r="O13" s="101">
        <v>35</v>
      </c>
      <c r="P13" s="102">
        <v>345</v>
      </c>
      <c r="Q13" s="102">
        <v>365</v>
      </c>
    </row>
    <row r="14" spans="1:17" ht="15" customHeight="1" x14ac:dyDescent="0.2">
      <c r="A14" s="16">
        <v>24</v>
      </c>
      <c r="B14" s="17">
        <v>1485</v>
      </c>
      <c r="C14" s="17">
        <v>103.5</v>
      </c>
      <c r="D14" s="17">
        <v>92</v>
      </c>
      <c r="E14" s="18">
        <v>0.7</v>
      </c>
      <c r="F14" s="17">
        <v>24.505949999999999</v>
      </c>
      <c r="G14" s="18">
        <v>54.199999999999996</v>
      </c>
      <c r="H14" s="17">
        <v>346.6046639999999</v>
      </c>
      <c r="I14" s="17">
        <v>1274.668549</v>
      </c>
      <c r="J14" s="18">
        <v>52.014655583643972</v>
      </c>
      <c r="K14" s="19">
        <v>3.5354496692771229</v>
      </c>
      <c r="L14" s="17">
        <v>183.89519688075754</v>
      </c>
      <c r="N14" s="101">
        <v>6</v>
      </c>
      <c r="O14" s="101">
        <v>41</v>
      </c>
      <c r="P14" s="102">
        <v>425</v>
      </c>
      <c r="Q14" s="102">
        <v>450</v>
      </c>
    </row>
    <row r="15" spans="1:17" ht="15" customHeight="1" x14ac:dyDescent="0.2">
      <c r="A15" s="10">
        <v>25</v>
      </c>
      <c r="B15" s="13">
        <v>1510</v>
      </c>
      <c r="C15" s="13">
        <v>105</v>
      </c>
      <c r="D15" s="13">
        <v>93.2</v>
      </c>
      <c r="E15" s="14">
        <v>0.79999999999999993</v>
      </c>
      <c r="F15" s="13">
        <v>30.977757999999998</v>
      </c>
      <c r="G15" s="14">
        <v>55.4</v>
      </c>
      <c r="H15" s="13">
        <v>358.53816319999999</v>
      </c>
      <c r="I15" s="13">
        <v>1633.2067121999999</v>
      </c>
      <c r="J15" s="14">
        <v>52.721914613704449</v>
      </c>
      <c r="K15" s="15">
        <v>3.2057463766771801</v>
      </c>
      <c r="L15" s="13">
        <v>169.01308674436672</v>
      </c>
      <c r="N15" s="101">
        <v>7</v>
      </c>
      <c r="O15" s="101">
        <v>45</v>
      </c>
      <c r="P15" s="102">
        <v>500</v>
      </c>
      <c r="Q15" s="102">
        <v>530</v>
      </c>
    </row>
    <row r="16" spans="1:17" ht="15" customHeight="1" x14ac:dyDescent="0.2">
      <c r="A16" s="10">
        <v>26</v>
      </c>
      <c r="B16" s="13">
        <v>1535</v>
      </c>
      <c r="C16" s="13">
        <v>106</v>
      </c>
      <c r="D16" s="13">
        <v>94.2</v>
      </c>
      <c r="E16" s="14">
        <v>0.89999999999999991</v>
      </c>
      <c r="F16" s="13">
        <v>37.512411999999998</v>
      </c>
      <c r="G16" s="14">
        <v>56.3</v>
      </c>
      <c r="H16" s="13">
        <v>367.90102019999995</v>
      </c>
      <c r="I16" s="13">
        <v>2001.1077323999998</v>
      </c>
      <c r="J16" s="14">
        <v>53.345216308671375</v>
      </c>
      <c r="K16" s="15">
        <v>2.9838316065266532</v>
      </c>
      <c r="L16" s="13">
        <v>159.17314247881475</v>
      </c>
      <c r="N16" s="101">
        <v>8</v>
      </c>
      <c r="O16" s="101">
        <v>48</v>
      </c>
      <c r="P16" s="102">
        <v>575</v>
      </c>
      <c r="Q16" s="102">
        <v>605</v>
      </c>
    </row>
    <row r="17" spans="1:17" ht="15" customHeight="1" x14ac:dyDescent="0.2">
      <c r="A17" s="10">
        <v>27</v>
      </c>
      <c r="B17" s="13">
        <v>1560</v>
      </c>
      <c r="C17" s="13">
        <v>106</v>
      </c>
      <c r="D17" s="13">
        <v>94.2</v>
      </c>
      <c r="E17" s="14">
        <v>0.99999999999999989</v>
      </c>
      <c r="F17" s="13">
        <v>44.040471999999994</v>
      </c>
      <c r="G17" s="14">
        <v>57</v>
      </c>
      <c r="H17" s="13">
        <v>372.09942000000001</v>
      </c>
      <c r="I17" s="13">
        <v>2373.2071523999998</v>
      </c>
      <c r="J17" s="14">
        <v>53.886959985351659</v>
      </c>
      <c r="K17" s="15">
        <v>2.8255217810289963</v>
      </c>
      <c r="L17" s="13">
        <v>152.25877915204907</v>
      </c>
      <c r="N17" s="101">
        <v>9</v>
      </c>
      <c r="O17" s="101">
        <v>51</v>
      </c>
      <c r="P17" s="102">
        <v>650</v>
      </c>
      <c r="Q17" s="102">
        <v>685</v>
      </c>
    </row>
    <row r="18" spans="1:17" ht="15" customHeight="1" x14ac:dyDescent="0.2">
      <c r="A18" s="16">
        <v>28</v>
      </c>
      <c r="B18" s="17">
        <v>1575</v>
      </c>
      <c r="C18" s="17">
        <v>106</v>
      </c>
      <c r="D18" s="17">
        <v>94.2</v>
      </c>
      <c r="E18" s="18">
        <v>1.0999999999999999</v>
      </c>
      <c r="F18" s="17">
        <v>50.561937999999998</v>
      </c>
      <c r="G18" s="18">
        <v>57.599999999999994</v>
      </c>
      <c r="H18" s="17">
        <v>375.63644159999996</v>
      </c>
      <c r="I18" s="17">
        <v>2748.8435939999999</v>
      </c>
      <c r="J18" s="18">
        <v>54.365866949166389</v>
      </c>
      <c r="K18" s="19">
        <v>2.7063695134340189</v>
      </c>
      <c r="L18" s="17">
        <v>147.13412488263404</v>
      </c>
      <c r="N18" s="101">
        <v>10</v>
      </c>
      <c r="O18" s="101">
        <v>53</v>
      </c>
      <c r="P18" s="102">
        <v>720</v>
      </c>
      <c r="Q18" s="102">
        <v>759.875</v>
      </c>
    </row>
    <row r="19" spans="1:17" ht="15" customHeight="1" x14ac:dyDescent="0.2">
      <c r="A19" s="10">
        <v>29</v>
      </c>
      <c r="B19" s="13">
        <v>1585</v>
      </c>
      <c r="C19" s="13">
        <v>106</v>
      </c>
      <c r="D19" s="13">
        <v>94.2</v>
      </c>
      <c r="E19" s="14">
        <v>1.2</v>
      </c>
      <c r="F19" s="13">
        <v>57.076809999999995</v>
      </c>
      <c r="G19" s="14">
        <v>58.099999999999994</v>
      </c>
      <c r="H19" s="13">
        <v>378.51406320000001</v>
      </c>
      <c r="I19" s="13">
        <v>3127.3576572000002</v>
      </c>
      <c r="J19" s="14">
        <v>54.792089067346275</v>
      </c>
      <c r="K19" s="15">
        <v>2.6132228532239652</v>
      </c>
      <c r="L19" s="13">
        <v>143.18393932667226</v>
      </c>
      <c r="N19" s="101">
        <v>11</v>
      </c>
      <c r="O19" s="101">
        <v>55</v>
      </c>
      <c r="P19" s="102">
        <v>790</v>
      </c>
      <c r="Q19" s="102">
        <v>835</v>
      </c>
    </row>
    <row r="20" spans="1:17" ht="15" customHeight="1" x14ac:dyDescent="0.2">
      <c r="A20" s="10">
        <v>30</v>
      </c>
      <c r="B20" s="13">
        <v>1595</v>
      </c>
      <c r="C20" s="13">
        <v>106</v>
      </c>
      <c r="D20" s="13">
        <v>94.2</v>
      </c>
      <c r="E20" s="14">
        <v>1.3</v>
      </c>
      <c r="F20" s="13">
        <v>63.585087999999999</v>
      </c>
      <c r="G20" s="14">
        <v>58.599999999999994</v>
      </c>
      <c r="H20" s="13">
        <v>381.3850908</v>
      </c>
      <c r="I20" s="13">
        <v>3508.7427480000001</v>
      </c>
      <c r="J20" s="14">
        <v>55.181849366945912</v>
      </c>
      <c r="K20" s="15">
        <v>2.5378995097534003</v>
      </c>
      <c r="L20" s="13">
        <v>140.04598845565803</v>
      </c>
      <c r="N20" s="101">
        <v>12</v>
      </c>
      <c r="O20" s="101">
        <v>57</v>
      </c>
      <c r="P20" s="102">
        <v>855</v>
      </c>
      <c r="Q20" s="102">
        <v>905</v>
      </c>
    </row>
    <row r="21" spans="1:17" ht="15" customHeight="1" x14ac:dyDescent="0.2">
      <c r="A21" s="10">
        <v>31</v>
      </c>
      <c r="B21" s="13">
        <v>1597</v>
      </c>
      <c r="C21" s="13">
        <v>106</v>
      </c>
      <c r="D21" s="13">
        <v>94.2</v>
      </c>
      <c r="E21" s="14">
        <v>1.4000000000000001</v>
      </c>
      <c r="F21" s="13">
        <v>70.086771999999996</v>
      </c>
      <c r="G21" s="14">
        <v>59</v>
      </c>
      <c r="H21" s="13">
        <v>383.59935600000006</v>
      </c>
      <c r="I21" s="13">
        <v>3892.3421040000003</v>
      </c>
      <c r="J21" s="14">
        <v>55.536044718966373</v>
      </c>
      <c r="K21" s="15">
        <v>2.4757455132469</v>
      </c>
      <c r="L21" s="13">
        <v>137.49311353646019</v>
      </c>
      <c r="N21" s="101">
        <v>13</v>
      </c>
      <c r="O21" s="101">
        <v>60</v>
      </c>
      <c r="P21" s="102">
        <v>920</v>
      </c>
      <c r="Q21" s="102">
        <v>970</v>
      </c>
    </row>
    <row r="22" spans="1:17" ht="15" customHeight="1" x14ac:dyDescent="0.2">
      <c r="A22" s="16">
        <v>32</v>
      </c>
      <c r="B22" s="17">
        <v>1600</v>
      </c>
      <c r="C22" s="17">
        <v>106</v>
      </c>
      <c r="D22" s="17">
        <v>94.2</v>
      </c>
      <c r="E22" s="18">
        <v>1.5000000000000002</v>
      </c>
      <c r="F22" s="17">
        <v>76.581862000000001</v>
      </c>
      <c r="G22" s="18">
        <v>59.4</v>
      </c>
      <c r="H22" s="17">
        <v>385.80834600000003</v>
      </c>
      <c r="I22" s="17">
        <v>4278.1504500000001</v>
      </c>
      <c r="J22" s="18">
        <v>55.863755963520447</v>
      </c>
      <c r="K22" s="19">
        <v>2.4233178849518953</v>
      </c>
      <c r="L22" s="17">
        <v>135.37563894698721</v>
      </c>
      <c r="N22" s="101">
        <v>14</v>
      </c>
      <c r="O22" s="101">
        <v>63</v>
      </c>
      <c r="P22" s="102">
        <v>980</v>
      </c>
      <c r="Q22" s="102">
        <v>1035</v>
      </c>
    </row>
    <row r="23" spans="1:17" ht="15" customHeight="1" x14ac:dyDescent="0.2">
      <c r="A23" s="10">
        <v>33</v>
      </c>
      <c r="B23" s="13">
        <v>1605</v>
      </c>
      <c r="C23" s="13">
        <v>106</v>
      </c>
      <c r="D23" s="13">
        <v>94.2</v>
      </c>
      <c r="E23" s="14">
        <v>1.6000000000000003</v>
      </c>
      <c r="F23" s="13">
        <v>83.070357999999999</v>
      </c>
      <c r="G23" s="14">
        <v>59.699999999999996</v>
      </c>
      <c r="H23" s="13">
        <v>387.36321120000002</v>
      </c>
      <c r="I23" s="13">
        <v>4665.5136612000006</v>
      </c>
      <c r="J23" s="14">
        <v>56.163398997269283</v>
      </c>
      <c r="K23" s="15">
        <v>2.3786119398363663</v>
      </c>
      <c r="L23" s="13">
        <v>133.59093143669853</v>
      </c>
      <c r="N23" s="101">
        <v>15</v>
      </c>
      <c r="O23" s="101">
        <v>66</v>
      </c>
      <c r="P23" s="102">
        <v>1045</v>
      </c>
      <c r="Q23" s="102">
        <v>1105</v>
      </c>
    </row>
    <row r="24" spans="1:17" ht="15" customHeight="1" x14ac:dyDescent="0.2">
      <c r="A24" s="10">
        <v>34</v>
      </c>
      <c r="B24" s="13">
        <v>1610</v>
      </c>
      <c r="C24" s="13">
        <v>106</v>
      </c>
      <c r="D24" s="13">
        <v>94.2</v>
      </c>
      <c r="E24" s="14">
        <v>1.7000000000000004</v>
      </c>
      <c r="F24" s="13">
        <v>89.552260000000004</v>
      </c>
      <c r="G24" s="14">
        <v>59.9</v>
      </c>
      <c r="H24" s="13">
        <v>388.26592980000004</v>
      </c>
      <c r="I24" s="13">
        <v>5053.7795910000004</v>
      </c>
      <c r="J24" s="14">
        <v>56.433858743486766</v>
      </c>
      <c r="K24" s="15">
        <v>2.3401955481124976</v>
      </c>
      <c r="L24" s="13">
        <v>132.06626499431729</v>
      </c>
      <c r="N24" s="101">
        <v>16</v>
      </c>
      <c r="O24" s="101">
        <v>69</v>
      </c>
      <c r="P24" s="102">
        <v>1110</v>
      </c>
      <c r="Q24" s="102">
        <v>1170</v>
      </c>
    </row>
    <row r="25" spans="1:17" ht="15" customHeight="1" x14ac:dyDescent="0.2">
      <c r="A25" s="10">
        <v>35</v>
      </c>
      <c r="B25" s="13">
        <v>1615</v>
      </c>
      <c r="C25" s="13">
        <v>106</v>
      </c>
      <c r="D25" s="13">
        <v>94.2</v>
      </c>
      <c r="E25" s="14">
        <v>1.8000000000000005</v>
      </c>
      <c r="F25" s="13">
        <v>96.027568000000002</v>
      </c>
      <c r="G25" s="14">
        <v>60.099999999999994</v>
      </c>
      <c r="H25" s="13">
        <v>389.16601080000004</v>
      </c>
      <c r="I25" s="13">
        <v>5442.9456018000001</v>
      </c>
      <c r="J25" s="14">
        <v>56.681073103923659</v>
      </c>
      <c r="K25" s="15">
        <v>2.3067429694406396</v>
      </c>
      <c r="L25" s="13">
        <v>130.74866688282683</v>
      </c>
      <c r="N25" s="101">
        <v>17</v>
      </c>
      <c r="O25" s="101">
        <v>72</v>
      </c>
      <c r="P25" s="102">
        <v>1170</v>
      </c>
      <c r="Q25" s="102">
        <v>1235.4499999999998</v>
      </c>
    </row>
    <row r="26" spans="1:17" ht="15" customHeight="1" x14ac:dyDescent="0.2">
      <c r="A26" s="16">
        <v>36</v>
      </c>
      <c r="B26" s="17">
        <v>1619</v>
      </c>
      <c r="C26" s="17">
        <v>106</v>
      </c>
      <c r="D26" s="17">
        <v>94.2</v>
      </c>
      <c r="E26" s="18">
        <v>1.9000000000000006</v>
      </c>
      <c r="F26" s="17">
        <v>102.49628200000001</v>
      </c>
      <c r="G26" s="18">
        <v>60.3</v>
      </c>
      <c r="H26" s="17">
        <v>390.06345420000002</v>
      </c>
      <c r="I26" s="17">
        <v>5833.0090559999999</v>
      </c>
      <c r="J26" s="18">
        <v>56.909469711301327</v>
      </c>
      <c r="K26" s="19">
        <v>2.2772771947501673</v>
      </c>
      <c r="L26" s="17">
        <v>129.59863753887188</v>
      </c>
      <c r="N26" s="103">
        <v>18</v>
      </c>
      <c r="O26" s="103">
        <v>75</v>
      </c>
      <c r="P26" s="104">
        <v>1230</v>
      </c>
      <c r="Q26" s="104">
        <v>1300</v>
      </c>
    </row>
    <row r="27" spans="1:17" ht="15" customHeight="1" x14ac:dyDescent="0.2">
      <c r="A27" s="10">
        <v>37</v>
      </c>
      <c r="B27" s="13">
        <v>1623</v>
      </c>
      <c r="C27" s="13">
        <v>106</v>
      </c>
      <c r="D27" s="13">
        <v>94.2</v>
      </c>
      <c r="E27" s="14">
        <v>2.0000000000000004</v>
      </c>
      <c r="F27" s="13">
        <v>108.95840200000001</v>
      </c>
      <c r="G27" s="14">
        <v>60.5</v>
      </c>
      <c r="H27" s="13">
        <v>390.95826</v>
      </c>
      <c r="I27" s="13">
        <v>6223.9673160000002</v>
      </c>
      <c r="J27" s="14">
        <v>57.122417379065453</v>
      </c>
      <c r="K27" s="15">
        <v>2.2510623511763956</v>
      </c>
      <c r="L27" s="13">
        <v>128.58612317019848</v>
      </c>
    </row>
    <row r="28" spans="1:17" ht="15" customHeight="1" x14ac:dyDescent="0.2">
      <c r="A28" s="10">
        <v>38</v>
      </c>
      <c r="B28" s="13">
        <v>1627</v>
      </c>
      <c r="C28" s="13">
        <v>106</v>
      </c>
      <c r="D28" s="13">
        <v>94.2</v>
      </c>
      <c r="E28" s="14">
        <v>2.1000000000000005</v>
      </c>
      <c r="F28" s="13">
        <v>115.41392800000001</v>
      </c>
      <c r="G28" s="14">
        <v>60.599999999999994</v>
      </c>
      <c r="H28" s="13">
        <v>391.20487560000004</v>
      </c>
      <c r="I28" s="13">
        <v>6615.1721916000006</v>
      </c>
      <c r="J28" s="14">
        <v>57.316931381106791</v>
      </c>
      <c r="K28" s="15">
        <v>2.2277510052894929</v>
      </c>
      <c r="L28" s="13">
        <v>127.68785150436955</v>
      </c>
    </row>
    <row r="29" spans="1:17" ht="15" customHeight="1" x14ac:dyDescent="0.2">
      <c r="A29" s="10">
        <v>39</v>
      </c>
      <c r="B29" s="13">
        <v>1631</v>
      </c>
      <c r="C29" s="13">
        <v>106</v>
      </c>
      <c r="D29" s="13">
        <v>94.2</v>
      </c>
      <c r="E29" s="14">
        <v>2.2000000000000006</v>
      </c>
      <c r="F29" s="13">
        <v>121.86286000000001</v>
      </c>
      <c r="G29" s="14">
        <v>60.699999999999996</v>
      </c>
      <c r="H29" s="13">
        <v>391.45017239999999</v>
      </c>
      <c r="I29" s="13">
        <v>7006.6223640000007</v>
      </c>
      <c r="J29" s="14">
        <v>57.49596196905275</v>
      </c>
      <c r="K29" s="15">
        <v>2.2068596959709073</v>
      </c>
      <c r="L29" s="13">
        <v>126.8855211505786</v>
      </c>
    </row>
    <row r="30" spans="1:17" ht="15" customHeight="1" x14ac:dyDescent="0.2">
      <c r="A30" s="16">
        <v>40</v>
      </c>
      <c r="B30" s="17">
        <v>1635</v>
      </c>
      <c r="C30" s="17">
        <v>106</v>
      </c>
      <c r="D30" s="17">
        <v>94.2</v>
      </c>
      <c r="E30" s="18">
        <v>2.3000000000000007</v>
      </c>
      <c r="F30" s="17">
        <v>128.30519800000002</v>
      </c>
      <c r="G30" s="18">
        <v>60.8</v>
      </c>
      <c r="H30" s="17">
        <v>391.69415039999996</v>
      </c>
      <c r="I30" s="17">
        <v>7398.3165144000004</v>
      </c>
      <c r="J30" s="18">
        <v>57.661861169490571</v>
      </c>
      <c r="K30" s="19">
        <v>2.188006753765225</v>
      </c>
      <c r="L30" s="17">
        <v>126.16454167351814</v>
      </c>
    </row>
    <row r="31" spans="1:17" ht="15" customHeight="1" x14ac:dyDescent="0.2">
      <c r="A31" s="10">
        <v>41</v>
      </c>
      <c r="B31" s="13">
        <v>1635.5</v>
      </c>
      <c r="C31" s="13">
        <v>106</v>
      </c>
      <c r="D31" s="13">
        <v>94.100000000000009</v>
      </c>
      <c r="E31" s="14">
        <v>2.4000000000000008</v>
      </c>
      <c r="F31" s="13">
        <v>134.73411000000002</v>
      </c>
      <c r="G31" s="14">
        <v>60.9</v>
      </c>
      <c r="H31" s="13">
        <v>391.5207408</v>
      </c>
      <c r="I31" s="13">
        <v>7789.8372552000001</v>
      </c>
      <c r="J31" s="14">
        <v>57.81637074086138</v>
      </c>
      <c r="K31" s="15">
        <v>2.1710028009520719</v>
      </c>
      <c r="L31" s="13">
        <v>125.51950281929348</v>
      </c>
    </row>
    <row r="32" spans="1:17" ht="15" customHeight="1" x14ac:dyDescent="0.2">
      <c r="A32" s="10">
        <v>42</v>
      </c>
      <c r="B32" s="13">
        <v>1636</v>
      </c>
      <c r="C32" s="13">
        <v>106</v>
      </c>
      <c r="D32" s="13">
        <v>94.000000000000014</v>
      </c>
      <c r="E32" s="14">
        <v>2.5000000000000009</v>
      </c>
      <c r="F32" s="13">
        <v>141.14961000000002</v>
      </c>
      <c r="G32" s="14">
        <v>61.099999999999994</v>
      </c>
      <c r="H32" s="13">
        <v>391.98705000000001</v>
      </c>
      <c r="I32" s="13">
        <v>8181.8243051999998</v>
      </c>
      <c r="J32" s="14">
        <v>57.965617511801831</v>
      </c>
      <c r="K32" s="15">
        <v>2.1554127590825747</v>
      </c>
      <c r="L32" s="13">
        <v>124.93983157303798</v>
      </c>
    </row>
    <row r="33" spans="1:12" ht="15" customHeight="1" x14ac:dyDescent="0.2">
      <c r="A33" s="10">
        <v>43</v>
      </c>
      <c r="B33" s="13">
        <v>1636.5</v>
      </c>
      <c r="C33" s="13">
        <v>106</v>
      </c>
      <c r="D33" s="13">
        <v>93.90000000000002</v>
      </c>
      <c r="E33" s="14">
        <v>2.600000000000001</v>
      </c>
      <c r="F33" s="13">
        <v>147.55171200000004</v>
      </c>
      <c r="G33" s="14">
        <v>61.3</v>
      </c>
      <c r="H33" s="13">
        <v>392.44885260000018</v>
      </c>
      <c r="I33" s="13">
        <v>8574.2731578000003</v>
      </c>
      <c r="J33" s="14">
        <v>58.110292598977082</v>
      </c>
      <c r="K33" s="15">
        <v>2.1410463793423511</v>
      </c>
      <c r="L33" s="13">
        <v>124.41683157156452</v>
      </c>
    </row>
    <row r="34" spans="1:12" ht="15" customHeight="1" x14ac:dyDescent="0.2">
      <c r="A34" s="16">
        <v>44</v>
      </c>
      <c r="B34" s="17">
        <v>1637</v>
      </c>
      <c r="C34" s="17">
        <v>106</v>
      </c>
      <c r="D34" s="17">
        <v>93.800000000000026</v>
      </c>
      <c r="E34" s="18">
        <v>2.7000000000000011</v>
      </c>
      <c r="F34" s="17">
        <v>153.94043000000005</v>
      </c>
      <c r="G34" s="18">
        <v>61.5</v>
      </c>
      <c r="H34" s="17">
        <v>392.90615700000012</v>
      </c>
      <c r="I34" s="17">
        <v>8967.1793147999997</v>
      </c>
      <c r="J34" s="18">
        <v>58.250969643257442</v>
      </c>
      <c r="K34" s="19">
        <v>2.1277462879000706</v>
      </c>
      <c r="L34" s="17">
        <v>123.94328442502072</v>
      </c>
    </row>
    <row r="35" spans="1:12" ht="15" customHeight="1" x14ac:dyDescent="0.2">
      <c r="A35" s="10">
        <v>45</v>
      </c>
      <c r="B35" s="13">
        <v>1637.5</v>
      </c>
      <c r="C35" s="13">
        <v>106</v>
      </c>
      <c r="D35" s="13">
        <v>93.700000000000031</v>
      </c>
      <c r="E35" s="14">
        <v>2.8000000000000012</v>
      </c>
      <c r="F35" s="13">
        <v>160.31577800000005</v>
      </c>
      <c r="G35" s="14">
        <v>61.699999999999996</v>
      </c>
      <c r="H35" s="13">
        <v>393.35897160000013</v>
      </c>
      <c r="I35" s="13">
        <v>9360.5382864000003</v>
      </c>
      <c r="J35" s="14">
        <v>58.388128749248857</v>
      </c>
      <c r="K35" s="15">
        <v>2.1153811772522935</v>
      </c>
      <c r="L35" s="13">
        <v>123.51314853114452</v>
      </c>
    </row>
    <row r="36" spans="1:12" ht="15" customHeight="1" x14ac:dyDescent="0.2">
      <c r="A36" s="10">
        <v>46</v>
      </c>
      <c r="B36" s="13">
        <v>1638</v>
      </c>
      <c r="C36" s="13">
        <v>106</v>
      </c>
      <c r="D36" s="13">
        <v>93.500000000000028</v>
      </c>
      <c r="E36" s="14">
        <v>2.9000000000000012</v>
      </c>
      <c r="F36" s="13">
        <v>166.67097300000006</v>
      </c>
      <c r="G36" s="14">
        <v>61.8</v>
      </c>
      <c r="H36" s="13">
        <v>392.75105100000007</v>
      </c>
      <c r="I36" s="13">
        <v>9753.2893373999996</v>
      </c>
      <c r="J36" s="14">
        <v>58.518224030527477</v>
      </c>
      <c r="K36" s="15">
        <v>2.1040684624527479</v>
      </c>
      <c r="L36" s="13">
        <v>123.12634966137739</v>
      </c>
    </row>
    <row r="37" spans="1:12" ht="15" customHeight="1" x14ac:dyDescent="0.2">
      <c r="A37" s="10">
        <v>47</v>
      </c>
      <c r="B37" s="13">
        <v>1638.5</v>
      </c>
      <c r="C37" s="13">
        <v>106</v>
      </c>
      <c r="D37" s="13">
        <v>93.300000000000026</v>
      </c>
      <c r="E37" s="14">
        <v>3.0000000000000013</v>
      </c>
      <c r="F37" s="13">
        <v>173.00604300000006</v>
      </c>
      <c r="G37" s="14">
        <v>61.9</v>
      </c>
      <c r="H37" s="13">
        <v>392.1408330000001</v>
      </c>
      <c r="I37" s="13">
        <v>10145.430170399999</v>
      </c>
      <c r="J37" s="14">
        <v>58.642056626889016</v>
      </c>
      <c r="K37" s="15">
        <v>2.0936843626377772</v>
      </c>
      <c r="L37" s="13">
        <v>122.77795695263657</v>
      </c>
    </row>
    <row r="38" spans="1:12" ht="15" customHeight="1" x14ac:dyDescent="0.2">
      <c r="A38" s="16">
        <v>48</v>
      </c>
      <c r="B38" s="17">
        <v>1639</v>
      </c>
      <c r="C38" s="17">
        <v>106</v>
      </c>
      <c r="D38" s="17">
        <v>93.100000000000023</v>
      </c>
      <c r="E38" s="18">
        <v>3.1000000000000014</v>
      </c>
      <c r="F38" s="17">
        <v>179.32101600000007</v>
      </c>
      <c r="G38" s="18">
        <v>62</v>
      </c>
      <c r="H38" s="17">
        <v>391.52832600000011</v>
      </c>
      <c r="I38" s="17">
        <v>10536.958496399999</v>
      </c>
      <c r="J38" s="18">
        <v>58.760310037502769</v>
      </c>
      <c r="K38" s="19">
        <v>2.0841238491641443</v>
      </c>
      <c r="L38" s="17">
        <v>122.46376353343877</v>
      </c>
    </row>
    <row r="39" spans="1:12" ht="15" customHeight="1" x14ac:dyDescent="0.2">
      <c r="A39" s="10">
        <v>49</v>
      </c>
      <c r="B39" s="13">
        <v>1639.5</v>
      </c>
      <c r="C39" s="13">
        <v>106</v>
      </c>
      <c r="D39" s="13">
        <v>92.90000000000002</v>
      </c>
      <c r="E39" s="14">
        <v>3.2000000000000015</v>
      </c>
      <c r="F39" s="13">
        <v>185.61592000000007</v>
      </c>
      <c r="G39" s="14">
        <v>62.199999999999996</v>
      </c>
      <c r="H39" s="13">
        <v>391.54302880000006</v>
      </c>
      <c r="I39" s="13">
        <v>10928.501525199999</v>
      </c>
      <c r="J39" s="14">
        <v>58.876962305819433</v>
      </c>
      <c r="K39" s="15">
        <v>2.0751776854041264</v>
      </c>
      <c r="L39" s="13">
        <v>122.18015836141636</v>
      </c>
    </row>
    <row r="40" spans="1:12" ht="15" customHeight="1" x14ac:dyDescent="0.2">
      <c r="A40" s="10">
        <v>50</v>
      </c>
      <c r="B40" s="13">
        <v>1640</v>
      </c>
      <c r="C40" s="13">
        <v>106</v>
      </c>
      <c r="D40" s="13">
        <v>92.700000000000017</v>
      </c>
      <c r="E40" s="14">
        <v>3.3000000000000016</v>
      </c>
      <c r="F40" s="13">
        <v>191.89078300000008</v>
      </c>
      <c r="G40" s="14">
        <v>62.3</v>
      </c>
      <c r="H40" s="13">
        <v>390.92396490000016</v>
      </c>
      <c r="I40" s="13">
        <v>11319.4254901</v>
      </c>
      <c r="J40" s="14">
        <v>58.988896251989317</v>
      </c>
      <c r="K40" s="15">
        <v>2.0668978757324998</v>
      </c>
      <c r="L40" s="13">
        <v>121.92402435504152</v>
      </c>
    </row>
    <row r="41" spans="1:12" ht="15" customHeight="1" x14ac:dyDescent="0.2">
      <c r="A41" s="10">
        <v>51</v>
      </c>
      <c r="B41" s="13">
        <v>1640.5</v>
      </c>
      <c r="C41" s="13">
        <v>106</v>
      </c>
      <c r="D41" s="13">
        <v>92.500000000000014</v>
      </c>
      <c r="E41" s="14">
        <v>3.4000000000000017</v>
      </c>
      <c r="F41" s="13">
        <v>198.14563300000009</v>
      </c>
      <c r="G41" s="14">
        <v>62.4</v>
      </c>
      <c r="H41" s="13">
        <v>390.30264</v>
      </c>
      <c r="I41" s="13">
        <v>11709.7281301</v>
      </c>
      <c r="J41" s="14">
        <v>59.096574336816168</v>
      </c>
      <c r="K41" s="15">
        <v>2.0592167667853514</v>
      </c>
      <c r="L41" s="13">
        <v>121.69265673394877</v>
      </c>
    </row>
    <row r="42" spans="1:12" ht="15" customHeight="1" x14ac:dyDescent="0.2">
      <c r="A42" s="16">
        <v>52</v>
      </c>
      <c r="B42" s="17">
        <v>1641</v>
      </c>
      <c r="C42" s="17">
        <v>106</v>
      </c>
      <c r="D42" s="17">
        <v>92.300000000000011</v>
      </c>
      <c r="E42" s="18">
        <v>3.5000000000000018</v>
      </c>
      <c r="F42" s="17">
        <v>204.3804980000001</v>
      </c>
      <c r="G42" s="18">
        <v>62.5</v>
      </c>
      <c r="H42" s="17">
        <v>389.67906249999999</v>
      </c>
      <c r="I42" s="17">
        <v>12099.4071926</v>
      </c>
      <c r="J42" s="18">
        <v>59.200399798419092</v>
      </c>
      <c r="K42" s="19">
        <v>2.0520756186456275</v>
      </c>
      <c r="L42" s="17">
        <v>121.48369704040934</v>
      </c>
    </row>
    <row r="43" spans="1:12" ht="15" customHeight="1" x14ac:dyDescent="0.2">
      <c r="A43" s="10">
        <v>53</v>
      </c>
      <c r="B43" s="13">
        <v>1641.5</v>
      </c>
      <c r="C43" s="13">
        <v>106</v>
      </c>
      <c r="D43" s="13">
        <v>92.100000000000009</v>
      </c>
      <c r="E43" s="14">
        <v>3.6000000000000019</v>
      </c>
      <c r="F43" s="13">
        <v>210.59540600000011</v>
      </c>
      <c r="G43" s="14">
        <v>62.599999999999994</v>
      </c>
      <c r="H43" s="13">
        <v>389.05324079999997</v>
      </c>
      <c r="I43" s="13">
        <v>12488.4604334</v>
      </c>
      <c r="J43" s="14">
        <v>59.300725835396392</v>
      </c>
      <c r="K43" s="15">
        <v>2.0454231837643388</v>
      </c>
      <c r="L43" s="13">
        <v>121.29507943777267</v>
      </c>
    </row>
    <row r="44" spans="1:12" ht="15" customHeight="1" x14ac:dyDescent="0.2">
      <c r="A44" s="10">
        <v>54</v>
      </c>
      <c r="B44" s="13">
        <v>1642</v>
      </c>
      <c r="C44" s="13">
        <v>106</v>
      </c>
      <c r="D44" s="13">
        <v>91.800000000000011</v>
      </c>
      <c r="E44" s="14">
        <v>3.700000000000002</v>
      </c>
      <c r="F44" s="13">
        <v>216.78364400000012</v>
      </c>
      <c r="G44" s="14">
        <v>62.699999999999996</v>
      </c>
      <c r="H44" s="13">
        <v>388.00252260000002</v>
      </c>
      <c r="I44" s="13">
        <v>12876.462955999999</v>
      </c>
      <c r="J44" s="14">
        <v>59.397760450968306</v>
      </c>
      <c r="K44" s="15">
        <v>2.0392814851196626</v>
      </c>
      <c r="L44" s="13">
        <v>121.12875314523259</v>
      </c>
    </row>
    <row r="45" spans="1:12" ht="15" customHeight="1" x14ac:dyDescent="0.2">
      <c r="A45" s="10">
        <v>55</v>
      </c>
      <c r="B45" s="13">
        <v>1642.5</v>
      </c>
      <c r="C45" s="13">
        <v>106</v>
      </c>
      <c r="D45" s="13">
        <v>91.500000000000014</v>
      </c>
      <c r="E45" s="14">
        <v>3.800000000000002</v>
      </c>
      <c r="F45" s="13">
        <v>222.94525400000012</v>
      </c>
      <c r="G45" s="14">
        <v>62.8</v>
      </c>
      <c r="H45" s="13">
        <v>386.94910800000014</v>
      </c>
      <c r="I45" s="13">
        <v>13263.412064</v>
      </c>
      <c r="J45" s="14">
        <v>59.49178924436756</v>
      </c>
      <c r="K45" s="15">
        <v>2.0336046539042369</v>
      </c>
      <c r="L45" s="13">
        <v>120.98277947643588</v>
      </c>
    </row>
    <row r="46" spans="1:12" ht="15" customHeight="1" x14ac:dyDescent="0.2">
      <c r="A46" s="16">
        <v>56</v>
      </c>
      <c r="B46" s="17">
        <v>1643</v>
      </c>
      <c r="C46" s="17">
        <v>106</v>
      </c>
      <c r="D46" s="17">
        <v>91.200000000000017</v>
      </c>
      <c r="E46" s="18">
        <v>3.9000000000000021</v>
      </c>
      <c r="F46" s="17">
        <v>229.08027800000011</v>
      </c>
      <c r="G46" s="18">
        <v>62.9</v>
      </c>
      <c r="H46" s="17">
        <v>385.89300960000003</v>
      </c>
      <c r="I46" s="17">
        <v>13649.3050736</v>
      </c>
      <c r="J46" s="18">
        <v>59.583064909673254</v>
      </c>
      <c r="K46" s="19">
        <v>2.0283522384995627</v>
      </c>
      <c r="L46" s="17">
        <v>120.85544308620049</v>
      </c>
    </row>
    <row r="47" spans="1:12" ht="15" customHeight="1" x14ac:dyDescent="0.2">
      <c r="A47" s="10">
        <v>57</v>
      </c>
      <c r="B47" s="13">
        <v>1643.5</v>
      </c>
      <c r="C47" s="13">
        <v>106</v>
      </c>
      <c r="D47" s="13">
        <v>90.90000000000002</v>
      </c>
      <c r="E47" s="14">
        <v>4.0000000000000018</v>
      </c>
      <c r="F47" s="13">
        <v>235.18875800000012</v>
      </c>
      <c r="G47" s="14">
        <v>63</v>
      </c>
      <c r="H47" s="13">
        <v>384.83424000000002</v>
      </c>
      <c r="I47" s="13">
        <v>14034.139313600001</v>
      </c>
      <c r="J47" s="14">
        <v>59.671811837196714</v>
      </c>
      <c r="K47" s="15">
        <v>2.0234884281418353</v>
      </c>
      <c r="L47" s="13">
        <v>120.74522073882454</v>
      </c>
    </row>
    <row r="48" spans="1:12" ht="15" customHeight="1" x14ac:dyDescent="0.2">
      <c r="A48" s="10">
        <v>58</v>
      </c>
      <c r="B48" s="13">
        <v>1644</v>
      </c>
      <c r="C48" s="13">
        <v>106</v>
      </c>
      <c r="D48" s="13">
        <v>90.600000000000023</v>
      </c>
      <c r="E48" s="14">
        <v>4.1000000000000014</v>
      </c>
      <c r="F48" s="13">
        <v>241.27073600000011</v>
      </c>
      <c r="G48" s="14">
        <v>63.099999999999994</v>
      </c>
      <c r="H48" s="13">
        <v>383.77281180000011</v>
      </c>
      <c r="I48" s="13">
        <v>14417.9121254</v>
      </c>
      <c r="J48" s="14">
        <v>59.758229963703485</v>
      </c>
      <c r="K48" s="15">
        <v>2.0189814063797678</v>
      </c>
      <c r="L48" s="13">
        <v>120.65075517488366</v>
      </c>
    </row>
    <row r="49" spans="1:12" ht="15" customHeight="1" x14ac:dyDescent="0.2">
      <c r="A49" s="10">
        <v>59</v>
      </c>
      <c r="B49" s="13">
        <v>1644.5</v>
      </c>
      <c r="C49" s="13">
        <v>106</v>
      </c>
      <c r="D49" s="13">
        <v>90.300000000000026</v>
      </c>
      <c r="E49" s="14">
        <v>4.2000000000000011</v>
      </c>
      <c r="F49" s="13">
        <v>247.32625400000012</v>
      </c>
      <c r="G49" s="14">
        <v>63.199999999999996</v>
      </c>
      <c r="H49" s="13">
        <v>382.70873760000012</v>
      </c>
      <c r="I49" s="13">
        <v>14800.620863</v>
      </c>
      <c r="J49" s="14">
        <v>59.842498010744919</v>
      </c>
      <c r="K49" s="15">
        <v>2.0148028096948085</v>
      </c>
      <c r="L49" s="13">
        <v>120.57083313120485</v>
      </c>
    </row>
    <row r="50" spans="1:12" ht="15" customHeight="1" x14ac:dyDescent="0.2">
      <c r="A50" s="16">
        <v>60</v>
      </c>
      <c r="B50" s="17">
        <v>1645</v>
      </c>
      <c r="C50" s="17">
        <v>106</v>
      </c>
      <c r="D50" s="17">
        <v>90.000000000000028</v>
      </c>
      <c r="E50" s="18">
        <v>4.3000000000000007</v>
      </c>
      <c r="F50" s="17">
        <v>253.35535400000012</v>
      </c>
      <c r="G50" s="18">
        <v>63.3</v>
      </c>
      <c r="H50" s="17">
        <v>381.6420300000002</v>
      </c>
      <c r="I50" s="17">
        <v>15182.262893000001</v>
      </c>
      <c r="J50" s="18">
        <v>59.924776221622672</v>
      </c>
      <c r="K50" s="19">
        <v>2.0109272718546118</v>
      </c>
      <c r="L50" s="17">
        <v>120.50436676384579</v>
      </c>
    </row>
    <row r="51" spans="1:12" ht="15" customHeight="1" x14ac:dyDescent="0.2">
      <c r="A51" s="10">
        <v>61</v>
      </c>
      <c r="B51" s="13">
        <v>1646</v>
      </c>
      <c r="C51" s="13">
        <v>106</v>
      </c>
      <c r="D51" s="13">
        <v>89.700000000000031</v>
      </c>
      <c r="E51" s="14">
        <v>4.4000000000000004</v>
      </c>
      <c r="F51" s="13">
        <v>259.35807800000015</v>
      </c>
      <c r="G51" s="14">
        <v>63.4</v>
      </c>
      <c r="H51" s="13">
        <v>380.57270160000007</v>
      </c>
      <c r="I51" s="13">
        <v>15562.835594600001</v>
      </c>
      <c r="J51" s="14">
        <v>60.00520868526791</v>
      </c>
      <c r="K51" s="15">
        <v>2.0073320385675468</v>
      </c>
      <c r="L51" s="13">
        <v>120.4503778748699</v>
      </c>
    </row>
    <row r="52" spans="1:12" ht="15" customHeight="1" x14ac:dyDescent="0.2">
      <c r="A52" s="10">
        <v>62</v>
      </c>
      <c r="B52" s="13">
        <v>1647</v>
      </c>
      <c r="C52" s="13">
        <v>106</v>
      </c>
      <c r="D52" s="13">
        <v>89.300000000000026</v>
      </c>
      <c r="E52" s="14">
        <v>4.5</v>
      </c>
      <c r="F52" s="13">
        <v>265.32778300000012</v>
      </c>
      <c r="G52" s="14">
        <v>63.5</v>
      </c>
      <c r="H52" s="13">
        <v>379.07626750000009</v>
      </c>
      <c r="I52" s="13">
        <v>15941.911862100002</v>
      </c>
      <c r="J52" s="14">
        <v>60.083839249129795</v>
      </c>
      <c r="K52" s="15">
        <v>2.0040500020548659</v>
      </c>
      <c r="L52" s="13">
        <v>120.41101817068281</v>
      </c>
    </row>
    <row r="53" spans="1:12" ht="15" customHeight="1" x14ac:dyDescent="0.2">
      <c r="A53" s="10">
        <v>63</v>
      </c>
      <c r="B53" s="13">
        <v>1648</v>
      </c>
      <c r="C53" s="13">
        <v>106</v>
      </c>
      <c r="D53" s="13">
        <v>88.90000000000002</v>
      </c>
      <c r="E53" s="14">
        <v>4.5999999999999996</v>
      </c>
      <c r="F53" s="13">
        <v>271.26452500000011</v>
      </c>
      <c r="G53" s="14">
        <v>63.599999999999994</v>
      </c>
      <c r="H53" s="13">
        <v>377.57679120000006</v>
      </c>
      <c r="I53" s="13">
        <v>16319.488653300001</v>
      </c>
      <c r="J53" s="14">
        <v>60.160791955011419</v>
      </c>
      <c r="K53" s="15">
        <v>2.0010588072804905</v>
      </c>
      <c r="L53" s="13">
        <v>120.38528259454489</v>
      </c>
    </row>
    <row r="54" spans="1:12" ht="15" customHeight="1" x14ac:dyDescent="0.2">
      <c r="A54" s="16">
        <v>64</v>
      </c>
      <c r="B54" s="17">
        <v>1649</v>
      </c>
      <c r="C54" s="17">
        <v>106</v>
      </c>
      <c r="D54" s="17">
        <v>88.500000000000014</v>
      </c>
      <c r="E54" s="18">
        <v>4.6999999999999993</v>
      </c>
      <c r="F54" s="17">
        <v>277.16836000000012</v>
      </c>
      <c r="G54" s="18">
        <v>63.699999999999996</v>
      </c>
      <c r="H54" s="17">
        <v>376.07428950000002</v>
      </c>
      <c r="I54" s="17">
        <v>16695.562942799999</v>
      </c>
      <c r="J54" s="18">
        <v>60.236178988106694</v>
      </c>
      <c r="K54" s="19">
        <v>1.998338277918807</v>
      </c>
      <c r="L54" s="17">
        <v>120.37226218750216</v>
      </c>
    </row>
    <row r="55" spans="1:12" ht="15" customHeight="1" x14ac:dyDescent="0.2">
      <c r="A55" s="10">
        <v>65</v>
      </c>
      <c r="B55" s="13">
        <v>1650</v>
      </c>
      <c r="C55" s="13">
        <v>106</v>
      </c>
      <c r="D55" s="13">
        <v>88.100000000000009</v>
      </c>
      <c r="E55" s="14">
        <v>4.7999999999999989</v>
      </c>
      <c r="F55" s="13">
        <v>283.03934400000014</v>
      </c>
      <c r="G55" s="14">
        <v>63.8</v>
      </c>
      <c r="H55" s="13">
        <v>374.56877920000005</v>
      </c>
      <c r="I55" s="13">
        <v>17070.131721999998</v>
      </c>
      <c r="J55" s="14">
        <v>60.310102054221794</v>
      </c>
      <c r="K55" s="15">
        <v>1.9958701581717062</v>
      </c>
      <c r="L55" s="13">
        <v>120.3711329263114</v>
      </c>
    </row>
    <row r="56" spans="1:12" ht="15" customHeight="1" x14ac:dyDescent="0.2">
      <c r="A56" s="10">
        <v>66</v>
      </c>
      <c r="B56" s="13">
        <v>1651</v>
      </c>
      <c r="C56" s="13">
        <v>106</v>
      </c>
      <c r="D56" s="13">
        <v>87.7</v>
      </c>
      <c r="E56" s="14">
        <v>4.8999999999999986</v>
      </c>
      <c r="F56" s="13">
        <v>288.87753300000014</v>
      </c>
      <c r="G56" s="14">
        <v>63.8</v>
      </c>
      <c r="H56" s="13">
        <v>372.47645819999997</v>
      </c>
      <c r="I56" s="13">
        <v>17442.608180199997</v>
      </c>
      <c r="J56" s="14">
        <v>60.380632578304343</v>
      </c>
      <c r="K56" s="15">
        <v>1.993704619213734</v>
      </c>
      <c r="L56" s="13">
        <v>120.38114608241266</v>
      </c>
    </row>
    <row r="57" spans="1:12" ht="15" customHeight="1" x14ac:dyDescent="0.2">
      <c r="A57" s="10">
        <v>67</v>
      </c>
      <c r="B57" s="13">
        <v>1652</v>
      </c>
      <c r="C57" s="13">
        <v>106</v>
      </c>
      <c r="D57" s="13">
        <v>87.3</v>
      </c>
      <c r="E57" s="14">
        <v>4.9999999999999982</v>
      </c>
      <c r="F57" s="13">
        <v>294.68298300000015</v>
      </c>
      <c r="G57" s="14">
        <v>63.9</v>
      </c>
      <c r="H57" s="13">
        <v>370.96825499999994</v>
      </c>
      <c r="I57" s="13">
        <v>17813.576435199997</v>
      </c>
      <c r="J57" s="14">
        <v>60.449966448181328</v>
      </c>
      <c r="K57" s="15">
        <v>1.9917566036817949</v>
      </c>
      <c r="L57" s="13">
        <v>120.40161986550808</v>
      </c>
    </row>
    <row r="58" spans="1:12" ht="15" customHeight="1" x14ac:dyDescent="0.2">
      <c r="A58" s="16">
        <v>68</v>
      </c>
      <c r="B58" s="17">
        <v>1653</v>
      </c>
      <c r="C58" s="17">
        <v>106</v>
      </c>
      <c r="D58" s="17">
        <v>86.899999999999991</v>
      </c>
      <c r="E58" s="18">
        <v>5.0999999999999979</v>
      </c>
      <c r="F58" s="17">
        <v>300.45575000000014</v>
      </c>
      <c r="G58" s="18">
        <v>63.9</v>
      </c>
      <c r="H58" s="17">
        <v>368.87981129999991</v>
      </c>
      <c r="I58" s="17">
        <v>18182.456246499998</v>
      </c>
      <c r="J58" s="18">
        <v>60.516253213659546</v>
      </c>
      <c r="K58" s="19">
        <v>1.9900758186598289</v>
      </c>
      <c r="L58" s="17">
        <v>120.43193215639903</v>
      </c>
    </row>
    <row r="59" spans="1:12" ht="15" customHeight="1" x14ac:dyDescent="0.2">
      <c r="A59" s="10">
        <v>69</v>
      </c>
      <c r="B59" s="13">
        <v>1654</v>
      </c>
      <c r="C59" s="13">
        <v>106</v>
      </c>
      <c r="D59" s="13">
        <v>86.499999999999986</v>
      </c>
      <c r="E59" s="14">
        <v>5.1999999999999975</v>
      </c>
      <c r="F59" s="13">
        <v>306.19589000000013</v>
      </c>
      <c r="G59" s="14">
        <v>64</v>
      </c>
      <c r="H59" s="13">
        <v>367.36895999999996</v>
      </c>
      <c r="I59" s="13">
        <v>18549.825206499998</v>
      </c>
      <c r="J59" s="14">
        <v>60.581561713646742</v>
      </c>
      <c r="K59" s="15">
        <v>1.9885838324273917</v>
      </c>
      <c r="L59" s="13">
        <v>120.47151416696019</v>
      </c>
    </row>
    <row r="60" spans="1:12" ht="15" customHeight="1" x14ac:dyDescent="0.2">
      <c r="A60" s="10">
        <v>70</v>
      </c>
      <c r="B60" s="13">
        <v>1655</v>
      </c>
      <c r="C60" s="13">
        <v>106</v>
      </c>
      <c r="D60" s="13">
        <v>86.09999999999998</v>
      </c>
      <c r="E60" s="14">
        <v>5.2999999999999972</v>
      </c>
      <c r="F60" s="13">
        <v>311.90345900000011</v>
      </c>
      <c r="G60" s="14">
        <v>64</v>
      </c>
      <c r="H60" s="13">
        <v>365.28441599999991</v>
      </c>
      <c r="I60" s="13">
        <v>18915.109622499996</v>
      </c>
      <c r="J60" s="14">
        <v>60.644116237582317</v>
      </c>
      <c r="K60" s="15">
        <v>1.9873295608757715</v>
      </c>
      <c r="L60" s="13">
        <v>120.5198448921337</v>
      </c>
    </row>
    <row r="61" spans="1:12" ht="15" customHeight="1" x14ac:dyDescent="0.2">
      <c r="A61" s="10">
        <v>71</v>
      </c>
      <c r="B61" s="13">
        <v>1656</v>
      </c>
      <c r="C61" s="13">
        <v>106</v>
      </c>
      <c r="D61" s="13">
        <v>85.699999999999974</v>
      </c>
      <c r="E61" s="14">
        <v>5.3999999999999968</v>
      </c>
      <c r="F61" s="13">
        <v>317.5785130000001</v>
      </c>
      <c r="G61" s="14">
        <v>64.099999999999994</v>
      </c>
      <c r="H61" s="13">
        <v>363.77096139999986</v>
      </c>
      <c r="I61" s="13">
        <v>19278.880583899998</v>
      </c>
      <c r="J61" s="14">
        <v>60.705872074852849</v>
      </c>
      <c r="K61" s="15">
        <v>1.9862402452961128</v>
      </c>
      <c r="L61" s="13">
        <v>120.57644624087017</v>
      </c>
    </row>
    <row r="62" spans="1:12" ht="15" customHeight="1" x14ac:dyDescent="0.2">
      <c r="A62" s="16">
        <v>72</v>
      </c>
      <c r="B62" s="17">
        <v>1657</v>
      </c>
      <c r="C62" s="17">
        <v>106</v>
      </c>
      <c r="D62" s="17">
        <v>85.299999999999969</v>
      </c>
      <c r="E62" s="18">
        <v>5.4999999999999964</v>
      </c>
      <c r="F62" s="17">
        <v>323.22110800000007</v>
      </c>
      <c r="G62" s="18">
        <v>64.099999999999994</v>
      </c>
      <c r="H62" s="17">
        <v>361.69033949999982</v>
      </c>
      <c r="I62" s="17">
        <v>19640.570923399999</v>
      </c>
      <c r="J62" s="18">
        <v>60.765124669395028</v>
      </c>
      <c r="K62" s="19">
        <v>1.9853637988467276</v>
      </c>
      <c r="L62" s="17">
        <v>120.64087875102511</v>
      </c>
    </row>
    <row r="63" spans="1:12" ht="15" customHeight="1" x14ac:dyDescent="0.2">
      <c r="A63" s="10">
        <v>73</v>
      </c>
      <c r="B63" s="13">
        <v>1658</v>
      </c>
      <c r="C63" s="13">
        <v>106</v>
      </c>
      <c r="D63" s="13">
        <v>84.799999999999969</v>
      </c>
      <c r="E63" s="14">
        <v>5.5999999999999961</v>
      </c>
      <c r="F63" s="13">
        <v>328.82469200000008</v>
      </c>
      <c r="G63" s="14">
        <v>64.2</v>
      </c>
      <c r="H63" s="13">
        <v>359.75009279999995</v>
      </c>
      <c r="I63" s="13">
        <v>20000.3210162</v>
      </c>
      <c r="J63" s="14">
        <v>60.823659240894216</v>
      </c>
      <c r="K63" s="15">
        <v>1.9846744693671803</v>
      </c>
      <c r="L63" s="13">
        <v>120.71516362889191</v>
      </c>
    </row>
    <row r="64" spans="1:12" ht="15" customHeight="1" x14ac:dyDescent="0.2">
      <c r="A64" s="10">
        <v>74</v>
      </c>
      <c r="B64" s="13">
        <v>1659</v>
      </c>
      <c r="C64" s="13">
        <v>106</v>
      </c>
      <c r="D64" s="13">
        <v>84.299999999999969</v>
      </c>
      <c r="E64" s="14">
        <v>5.6999999999999957</v>
      </c>
      <c r="F64" s="13">
        <v>334.38933500000007</v>
      </c>
      <c r="G64" s="14">
        <v>64.2</v>
      </c>
      <c r="H64" s="13">
        <v>357.25008059999988</v>
      </c>
      <c r="I64" s="13">
        <v>20357.571096799998</v>
      </c>
      <c r="J64" s="14">
        <v>60.879845635028985</v>
      </c>
      <c r="K64" s="15">
        <v>1.984216697951235</v>
      </c>
      <c r="L64" s="13">
        <v>120.79880627771811</v>
      </c>
    </row>
    <row r="65" spans="1:12" ht="15" customHeight="1" x14ac:dyDescent="0.2">
      <c r="A65" s="10">
        <v>75</v>
      </c>
      <c r="B65" s="13">
        <v>1660</v>
      </c>
      <c r="C65" s="13">
        <v>106</v>
      </c>
      <c r="D65" s="13">
        <v>83.799999999999969</v>
      </c>
      <c r="E65" s="14">
        <v>5.7999999999999954</v>
      </c>
      <c r="F65" s="13">
        <v>339.91510700000009</v>
      </c>
      <c r="G65" s="14">
        <v>64.3</v>
      </c>
      <c r="H65" s="13">
        <v>355.3071395999998</v>
      </c>
      <c r="I65" s="13">
        <v>20712.8782364</v>
      </c>
      <c r="J65" s="14">
        <v>60.935444791513767</v>
      </c>
      <c r="K65" s="15">
        <v>1.9839249780257544</v>
      </c>
      <c r="L65" s="13">
        <v>120.89135096899352</v>
      </c>
    </row>
    <row r="66" spans="1:12" ht="15" customHeight="1" x14ac:dyDescent="0.2">
      <c r="A66" s="16">
        <v>76</v>
      </c>
      <c r="B66" s="17">
        <v>1661</v>
      </c>
      <c r="C66" s="17">
        <v>106</v>
      </c>
      <c r="D66" s="17">
        <v>83.299999999999969</v>
      </c>
      <c r="E66" s="18">
        <v>5.899999999999995</v>
      </c>
      <c r="F66" s="17">
        <v>345.40207800000007</v>
      </c>
      <c r="G66" s="18">
        <v>64.3</v>
      </c>
      <c r="H66" s="17">
        <v>352.81223529999983</v>
      </c>
      <c r="I66" s="17">
        <v>21065.6904717</v>
      </c>
      <c r="J66" s="18">
        <v>60.98889327382679</v>
      </c>
      <c r="K66" s="19">
        <v>1.983842806203896</v>
      </c>
      <c r="L66" s="17">
        <v>120.99237717961844</v>
      </c>
    </row>
    <row r="67" spans="1:12" ht="15" customHeight="1" x14ac:dyDescent="0.2">
      <c r="A67" s="10">
        <v>77</v>
      </c>
      <c r="B67" s="13">
        <v>1662</v>
      </c>
      <c r="C67" s="13">
        <v>106</v>
      </c>
      <c r="D67" s="13">
        <v>82.799999999999969</v>
      </c>
      <c r="E67" s="14">
        <v>5.9999999999999947</v>
      </c>
      <c r="F67" s="13">
        <v>350.85031800000007</v>
      </c>
      <c r="G67" s="14">
        <v>64.399999999999991</v>
      </c>
      <c r="H67" s="13">
        <v>350.86665599999981</v>
      </c>
      <c r="I67" s="13">
        <v>21416.557127699998</v>
      </c>
      <c r="J67" s="14">
        <v>61.041863236105129</v>
      </c>
      <c r="K67" s="15">
        <v>1.9839089096653042</v>
      </c>
      <c r="L67" s="13">
        <v>121.10149633667994</v>
      </c>
    </row>
    <row r="68" spans="1:12" ht="15" customHeight="1" x14ac:dyDescent="0.2">
      <c r="A68" s="10">
        <v>78</v>
      </c>
      <c r="B68" s="13">
        <v>1663</v>
      </c>
      <c r="C68" s="13">
        <v>106</v>
      </c>
      <c r="D68" s="13">
        <v>82.299999999999969</v>
      </c>
      <c r="E68" s="14">
        <v>6.0999999999999943</v>
      </c>
      <c r="F68" s="13">
        <v>356.25989700000008</v>
      </c>
      <c r="G68" s="14">
        <v>64.399999999999991</v>
      </c>
      <c r="H68" s="13">
        <v>348.37688759999986</v>
      </c>
      <c r="I68" s="13">
        <v>21764.934015299998</v>
      </c>
      <c r="J68" s="14">
        <v>61.092854398091269</v>
      </c>
      <c r="K68" s="15">
        <v>1.9841657442950329</v>
      </c>
      <c r="L68" s="13">
        <v>121.21834891789683</v>
      </c>
    </row>
    <row r="69" spans="1:12" ht="15" customHeight="1" x14ac:dyDescent="0.2">
      <c r="A69" s="10">
        <v>79</v>
      </c>
      <c r="B69" s="13">
        <v>1664</v>
      </c>
      <c r="C69" s="13">
        <v>106</v>
      </c>
      <c r="D69" s="13">
        <v>81.799999999999969</v>
      </c>
      <c r="E69" s="14">
        <v>6.199999999999994</v>
      </c>
      <c r="F69" s="13">
        <v>361.63088500000009</v>
      </c>
      <c r="G69" s="14">
        <v>64.5</v>
      </c>
      <c r="H69" s="13">
        <v>346.42872599999987</v>
      </c>
      <c r="I69" s="13">
        <v>22111.362741299996</v>
      </c>
      <c r="J69" s="14">
        <v>61.143457758869211</v>
      </c>
      <c r="K69" s="15">
        <v>1.9845557695111145</v>
      </c>
      <c r="L69" s="13">
        <v>121.34260186322301</v>
      </c>
    </row>
    <row r="70" spans="1:12" ht="15" customHeight="1" x14ac:dyDescent="0.2">
      <c r="A70" s="16">
        <v>80</v>
      </c>
      <c r="B70" s="17">
        <v>1665</v>
      </c>
      <c r="C70" s="17">
        <v>106</v>
      </c>
      <c r="D70" s="17">
        <v>81.299999999999969</v>
      </c>
      <c r="E70" s="18">
        <v>6.2999999999999936</v>
      </c>
      <c r="F70" s="17">
        <v>366.9633520000001</v>
      </c>
      <c r="G70" s="18">
        <v>64.5</v>
      </c>
      <c r="H70" s="17">
        <v>343.94412149999982</v>
      </c>
      <c r="I70" s="17">
        <v>22455.306862799996</v>
      </c>
      <c r="J70" s="18">
        <v>61.192232794952204</v>
      </c>
      <c r="K70" s="19">
        <v>1.9851203447077574</v>
      </c>
      <c r="L70" s="17">
        <v>121.47394625935286</v>
      </c>
    </row>
    <row r="71" spans="1:12" ht="15" customHeight="1" x14ac:dyDescent="0.2">
      <c r="A71" s="10">
        <v>81</v>
      </c>
      <c r="B71" s="13">
        <v>1665</v>
      </c>
      <c r="C71" s="13">
        <v>106</v>
      </c>
      <c r="D71" s="13">
        <v>80.699999999999974</v>
      </c>
      <c r="E71" s="14">
        <v>6.3999999999999932</v>
      </c>
      <c r="F71" s="13">
        <v>372.2508160000001</v>
      </c>
      <c r="G71" s="14">
        <v>64.599999999999994</v>
      </c>
      <c r="H71" s="13">
        <v>341.57017439999987</v>
      </c>
      <c r="I71" s="13">
        <v>22796.877037199996</v>
      </c>
      <c r="J71" s="14">
        <v>61.240636843090201</v>
      </c>
      <c r="K71" s="15">
        <v>1.9858421145197511</v>
      </c>
      <c r="L71" s="13">
        <v>121.61423576301841</v>
      </c>
    </row>
    <row r="72" spans="1:12" ht="15" customHeight="1" x14ac:dyDescent="0.2">
      <c r="A72" s="10">
        <v>82</v>
      </c>
      <c r="B72" s="13">
        <v>1665</v>
      </c>
      <c r="C72" s="13">
        <v>106</v>
      </c>
      <c r="D72" s="13">
        <v>80.09999999999998</v>
      </c>
      <c r="E72" s="14">
        <v>6.4999999999999929</v>
      </c>
      <c r="F72" s="13">
        <v>377.49336100000011</v>
      </c>
      <c r="G72" s="14">
        <v>64.599999999999994</v>
      </c>
      <c r="H72" s="13">
        <v>338.66840699999995</v>
      </c>
      <c r="I72" s="13">
        <v>23135.545444199997</v>
      </c>
      <c r="J72" s="14">
        <v>61.2872909417869</v>
      </c>
      <c r="K72" s="15">
        <v>1.9867596642949781</v>
      </c>
      <c r="L72" s="13">
        <v>121.76311757705319</v>
      </c>
    </row>
    <row r="73" spans="1:12" ht="15" customHeight="1" x14ac:dyDescent="0.2">
      <c r="A73" s="10">
        <v>83</v>
      </c>
      <c r="B73" s="13">
        <v>1665</v>
      </c>
      <c r="C73" s="13">
        <v>106</v>
      </c>
      <c r="D73" s="13">
        <v>79.499999999999986</v>
      </c>
      <c r="E73" s="14">
        <v>6.5999999999999925</v>
      </c>
      <c r="F73" s="13">
        <v>382.69107100000008</v>
      </c>
      <c r="G73" s="14">
        <v>64.699999999999989</v>
      </c>
      <c r="H73" s="13">
        <v>336.29183699999987</v>
      </c>
      <c r="I73" s="13">
        <v>23471.837281199998</v>
      </c>
      <c r="J73" s="14">
        <v>61.333642355089054</v>
      </c>
      <c r="K73" s="15">
        <v>1.9878203798460645</v>
      </c>
      <c r="L73" s="13">
        <v>121.9202642436358</v>
      </c>
    </row>
    <row r="74" spans="1:12" ht="15" customHeight="1" x14ac:dyDescent="0.2">
      <c r="A74" s="16">
        <v>84</v>
      </c>
      <c r="B74" s="17">
        <v>1665</v>
      </c>
      <c r="C74" s="17">
        <v>106</v>
      </c>
      <c r="D74" s="17">
        <v>78.899999999999991</v>
      </c>
      <c r="E74" s="18">
        <v>6.6999999999999922</v>
      </c>
      <c r="F74" s="17">
        <v>387.84403000000009</v>
      </c>
      <c r="G74" s="18">
        <v>64.699999999999989</v>
      </c>
      <c r="H74" s="17">
        <v>333.39644729999992</v>
      </c>
      <c r="I74" s="17">
        <v>23805.233728499999</v>
      </c>
      <c r="J74" s="18">
        <v>61.378368331465602</v>
      </c>
      <c r="K74" s="19">
        <v>1.9890618609348807</v>
      </c>
      <c r="L74" s="17">
        <v>122.08537153453152</v>
      </c>
    </row>
    <row r="75" spans="1:12" ht="15" customHeight="1" x14ac:dyDescent="0.2">
      <c r="A75" s="10">
        <v>85</v>
      </c>
      <c r="B75" s="13">
        <v>1665</v>
      </c>
      <c r="C75" s="13">
        <v>106</v>
      </c>
      <c r="D75" s="13">
        <v>78.3</v>
      </c>
      <c r="E75" s="14">
        <v>6.7999999999999918</v>
      </c>
      <c r="F75" s="13">
        <v>392.95232200000009</v>
      </c>
      <c r="G75" s="14">
        <v>64.799999999999983</v>
      </c>
      <c r="H75" s="13">
        <v>331.01732159999989</v>
      </c>
      <c r="I75" s="13">
        <v>24136.2510501</v>
      </c>
      <c r="J75" s="14">
        <v>61.422848775277103</v>
      </c>
      <c r="K75" s="15">
        <v>1.9904344879525504</v>
      </c>
      <c r="L75" s="13">
        <v>122.25815655060562</v>
      </c>
    </row>
    <row r="76" spans="1:12" ht="15" customHeight="1" x14ac:dyDescent="0.2">
      <c r="A76" s="10">
        <v>86</v>
      </c>
      <c r="B76" s="13">
        <v>1665</v>
      </c>
      <c r="C76" s="13">
        <v>106</v>
      </c>
      <c r="D76" s="13">
        <v>77.7</v>
      </c>
      <c r="E76" s="14">
        <v>6.8999999999999915</v>
      </c>
      <c r="F76" s="13">
        <v>398.01603100000011</v>
      </c>
      <c r="G76" s="14">
        <v>64.799999999999983</v>
      </c>
      <c r="H76" s="13">
        <v>328.1283431999999</v>
      </c>
      <c r="I76" s="13">
        <v>24464.379393299998</v>
      </c>
      <c r="J76" s="14">
        <v>61.46581415787243</v>
      </c>
      <c r="K76" s="15">
        <v>1.9919748511317739</v>
      </c>
      <c r="L76" s="13">
        <v>122.43835600682121</v>
      </c>
    </row>
    <row r="77" spans="1:12" ht="15" customHeight="1" x14ac:dyDescent="0.2">
      <c r="A77" s="10">
        <v>87</v>
      </c>
      <c r="B77" s="13">
        <v>1665</v>
      </c>
      <c r="C77" s="13">
        <v>106</v>
      </c>
      <c r="D77" s="13">
        <v>77.100000000000009</v>
      </c>
      <c r="E77" s="14">
        <v>6.9999999999999911</v>
      </c>
      <c r="F77" s="13">
        <v>403.0352410000001</v>
      </c>
      <c r="G77" s="14">
        <v>64.899999999999977</v>
      </c>
      <c r="H77" s="13">
        <v>325.74672899999996</v>
      </c>
      <c r="I77" s="13">
        <v>24790.126122299996</v>
      </c>
      <c r="J77" s="14">
        <v>61.508581881801227</v>
      </c>
      <c r="K77" s="15">
        <v>1.9936360249309875</v>
      </c>
      <c r="L77" s="13">
        <v>122.62572468197635</v>
      </c>
    </row>
    <row r="78" spans="1:12" ht="15" customHeight="1" x14ac:dyDescent="0.2">
      <c r="A78" s="16">
        <v>88</v>
      </c>
      <c r="B78" s="17">
        <v>1665</v>
      </c>
      <c r="C78" s="17">
        <v>106</v>
      </c>
      <c r="D78" s="17">
        <v>76.500000000000014</v>
      </c>
      <c r="E78" s="18">
        <v>7.0999999999999908</v>
      </c>
      <c r="F78" s="17">
        <v>408.01003600000013</v>
      </c>
      <c r="G78" s="18">
        <v>64.899999999999977</v>
      </c>
      <c r="H78" s="17">
        <v>322.86419549999994</v>
      </c>
      <c r="I78" s="17">
        <v>25112.990317799995</v>
      </c>
      <c r="J78" s="18">
        <v>61.549932849690947</v>
      </c>
      <c r="K78" s="19">
        <v>1.995453582621777</v>
      </c>
      <c r="L78" s="17">
        <v>122.82003401504561</v>
      </c>
    </row>
    <row r="79" spans="1:12" ht="15" customHeight="1" x14ac:dyDescent="0.2">
      <c r="A79" s="10">
        <v>89</v>
      </c>
      <c r="B79" s="13">
        <v>1665</v>
      </c>
      <c r="C79" s="13">
        <v>106</v>
      </c>
      <c r="D79" s="13">
        <v>75.90000000000002</v>
      </c>
      <c r="E79" s="14">
        <v>7.1999999999999904</v>
      </c>
      <c r="F79" s="13">
        <v>412.94050000000016</v>
      </c>
      <c r="G79" s="14">
        <v>64.999999999999972</v>
      </c>
      <c r="H79" s="13">
        <v>320.48016000000007</v>
      </c>
      <c r="I79" s="13">
        <v>25433.470477799994</v>
      </c>
      <c r="J79" s="14">
        <v>61.591126270733881</v>
      </c>
      <c r="K79" s="15">
        <v>1.9973830368270784</v>
      </c>
      <c r="L79" s="13">
        <v>123.02107083223849</v>
      </c>
    </row>
    <row r="80" spans="1:12" ht="15" customHeight="1" x14ac:dyDescent="0.2">
      <c r="A80" s="20">
        <v>90</v>
      </c>
      <c r="B80" s="21">
        <v>1665</v>
      </c>
      <c r="C80" s="21">
        <v>106</v>
      </c>
      <c r="D80" s="21">
        <v>75.300000000000026</v>
      </c>
      <c r="E80" s="22">
        <v>7.2999999999999901</v>
      </c>
      <c r="F80" s="21">
        <v>417.82671700000014</v>
      </c>
      <c r="G80" s="22">
        <v>64.999999999999972</v>
      </c>
      <c r="H80" s="21">
        <v>317.604105</v>
      </c>
      <c r="I80" s="21">
        <v>25751.074582799993</v>
      </c>
      <c r="J80" s="22">
        <v>61.630990875099982</v>
      </c>
      <c r="K80" s="23">
        <v>1.9994589481866016</v>
      </c>
      <c r="L80" s="21">
        <v>123.22863619082545</v>
      </c>
    </row>
    <row r="81" spans="1:12" x14ac:dyDescent="0.2">
      <c r="A81" s="543" t="s">
        <v>169</v>
      </c>
      <c r="B81" s="543"/>
      <c r="C81" s="543"/>
      <c r="D81" s="543"/>
      <c r="E81" s="543"/>
      <c r="F81" s="543"/>
      <c r="G81" s="543"/>
      <c r="H81" s="543"/>
      <c r="I81" s="543"/>
      <c r="J81" s="543"/>
      <c r="K81" s="543"/>
      <c r="L81" s="543"/>
    </row>
    <row r="82" spans="1:12" x14ac:dyDescent="0.2">
      <c r="A82" s="543" t="s">
        <v>170</v>
      </c>
      <c r="B82" s="543"/>
      <c r="C82" s="543"/>
      <c r="D82" s="543"/>
      <c r="E82" s="543"/>
      <c r="F82" s="543"/>
      <c r="G82" s="543"/>
      <c r="H82" s="543"/>
      <c r="I82" s="543"/>
      <c r="J82" s="543"/>
      <c r="K82" s="543"/>
      <c r="L82" s="543"/>
    </row>
    <row r="83" spans="1:12" x14ac:dyDescent="0.2">
      <c r="A83" s="543" t="s">
        <v>171</v>
      </c>
      <c r="B83" s="543"/>
      <c r="C83" s="543"/>
      <c r="D83" s="543"/>
      <c r="E83" s="543"/>
      <c r="F83" s="543"/>
      <c r="G83" s="543"/>
      <c r="H83" s="543"/>
      <c r="I83" s="543"/>
      <c r="J83" s="543"/>
      <c r="K83" s="543"/>
      <c r="L83" s="543"/>
    </row>
  </sheetData>
  <mergeCells count="6">
    <mergeCell ref="A83:L83"/>
    <mergeCell ref="A1:L1"/>
    <mergeCell ref="N1:Q1"/>
    <mergeCell ref="P6:Q6"/>
    <mergeCell ref="A81:L81"/>
    <mergeCell ref="A82:L82"/>
  </mergeCells>
  <printOptions horizontalCentered="1" verticalCentered="1"/>
  <pageMargins left="0.39370078740157483" right="0.39370078740157483" top="0.39370078740157483" bottom="0.39370078740157483"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5:N45"/>
  <sheetViews>
    <sheetView showGridLines="0" zoomScaleNormal="100" workbookViewId="0">
      <selection activeCell="M19" sqref="M19"/>
    </sheetView>
  </sheetViews>
  <sheetFormatPr baseColWidth="10" defaultRowHeight="12.75" x14ac:dyDescent="0.2"/>
  <cols>
    <col min="1" max="1" width="11.42578125" style="176"/>
    <col min="2" max="2" width="18.28515625" style="176" customWidth="1"/>
    <col min="3" max="13" width="11.42578125" style="176"/>
    <col min="14" max="14" width="11.42578125" style="176" customWidth="1"/>
    <col min="15" max="16384" width="11.42578125" style="176"/>
  </cols>
  <sheetData>
    <row r="5" spans="1:14" ht="33.75" x14ac:dyDescent="0.5">
      <c r="A5" s="445" t="str">
        <f>IF($C$10="","",VLOOKUP($C$10,Traduction!$A$21:$T$31,18,FALSE))</f>
        <v>Comment utiliser ce fichier ?</v>
      </c>
      <c r="B5" s="445"/>
      <c r="C5" s="445"/>
      <c r="D5" s="445"/>
      <c r="E5" s="445"/>
      <c r="F5" s="445"/>
      <c r="G5" s="445"/>
      <c r="H5" s="445"/>
      <c r="I5" s="445"/>
      <c r="J5" s="445"/>
      <c r="K5" s="445"/>
    </row>
    <row r="6" spans="1:14" x14ac:dyDescent="0.2">
      <c r="N6" s="382"/>
    </row>
    <row r="7" spans="1:14" x14ac:dyDescent="0.2">
      <c r="N7" s="382"/>
    </row>
    <row r="8" spans="1:14" ht="26.25" x14ac:dyDescent="0.4">
      <c r="A8" s="444" t="str">
        <f>IF($C$10="","",VLOOKUP($C$10,Traduction!$A$21:$T$31,3,FALSE))</f>
        <v>Saisie de données</v>
      </c>
      <c r="B8" s="444"/>
      <c r="C8" s="444"/>
      <c r="D8" s="444"/>
      <c r="E8" s="444"/>
      <c r="F8" s="444"/>
      <c r="G8" s="444"/>
      <c r="H8" s="444"/>
      <c r="I8" s="444"/>
      <c r="J8" s="444"/>
      <c r="K8" s="444"/>
      <c r="N8" s="382"/>
    </row>
    <row r="9" spans="1:14" x14ac:dyDescent="0.2">
      <c r="N9" s="382"/>
    </row>
    <row r="10" spans="1:14" x14ac:dyDescent="0.2">
      <c r="A10" s="176" t="str">
        <f>IF($C$10="","",VLOOKUP($C$10,Traduction!$A$21:$T$31,2,FALSE))</f>
        <v>Choisir la langue</v>
      </c>
      <c r="C10" s="239" t="s">
        <v>181</v>
      </c>
      <c r="N10" s="382"/>
    </row>
    <row r="11" spans="1:14" x14ac:dyDescent="0.2">
      <c r="N11" s="382"/>
    </row>
    <row r="12" spans="1:14" x14ac:dyDescent="0.2">
      <c r="A12" s="176" t="str">
        <f>IF($C$10="","",VLOOKUP($C$10,Traduction!$A$21:$T$31,4,FALSE))</f>
        <v>1 / Onglet Data : Renseigner le lot (Souche, date de naissance, nombre, mode de production…). Ces informations sont nécessaires pour utiliser le programme.</v>
      </c>
      <c r="N12" s="382"/>
    </row>
    <row r="13" spans="1:14" x14ac:dyDescent="0.2">
      <c r="N13" s="382"/>
    </row>
    <row r="14" spans="1:14" x14ac:dyDescent="0.2">
      <c r="A14" s="176" t="str">
        <f>IF($C$10="","",VLOOKUP($C$10,Traduction!$A$21:$T$31,5,FALSE))</f>
        <v>2 / Onglet Growing data input : Saisir les données journalières ou hebdomadaires (auquel cas, utiliser les lignes écrites en rouge pour faire le cumul de la semaine)</v>
      </c>
      <c r="N14" s="382"/>
    </row>
    <row r="15" spans="1:14" x14ac:dyDescent="0.2">
      <c r="N15" s="382"/>
    </row>
    <row r="16" spans="1:14" x14ac:dyDescent="0.2">
      <c r="A16" s="176" t="str">
        <f>IF($C$10="","",VLOOKUP($C$10,Traduction!$A$21:$T$31,6,FALSE))</f>
        <v>3 / Onglet Production Data - Daily input : Saisir les données journalières de production dès la 17ème semaine</v>
      </c>
      <c r="N16" s="382"/>
    </row>
    <row r="17" spans="1:14" x14ac:dyDescent="0.2">
      <c r="B17" s="176" t="str">
        <f>IF($C$10="","",VLOOKUP($C$10,Traduction!$A$2:$BQ$15,19,FALSE))</f>
        <v>Mortalité</v>
      </c>
      <c r="C17" s="241" t="str">
        <f>IF(Data!$C$15="","",VLOOKUP(Data!$C$15,Traduction!$A$2:$BZ$13,77,FALSE))</f>
        <v>Total</v>
      </c>
      <c r="N17" s="382"/>
    </row>
    <row r="18" spans="1:14" x14ac:dyDescent="0.2">
      <c r="B18" s="176" t="str">
        <f>IF($C$10="","",VLOOKUP($C$10,Traduction!$A$2:$BQ$15,26,FALSE))</f>
        <v>Production</v>
      </c>
      <c r="C18" s="241" t="str">
        <f>IF(Data!$C$15="","",VLOOKUP(Data!$C$15,Traduction!$A$2:$BZ$13,77,FALSE))</f>
        <v>Total</v>
      </c>
      <c r="N18" s="382"/>
    </row>
    <row r="19" spans="1:14" x14ac:dyDescent="0.2">
      <c r="B19" s="176" t="str">
        <f>IF($C$10="","",VLOOKUP($C$10,Traduction!$A$2:$BQ$15,56,FALSE))</f>
        <v>Déclassés</v>
      </c>
      <c r="C19" s="241" t="str">
        <f>IF(Data!$C$15="","",VLOOKUP(Data!$C$15,Traduction!$A$2:$BZ$13,77,FALSE))</f>
        <v>Total</v>
      </c>
      <c r="N19" s="382"/>
    </row>
    <row r="20" spans="1:14" x14ac:dyDescent="0.2">
      <c r="B20" s="176" t="str">
        <f>IF($C$10="","",VLOOKUP($C$10,Traduction!$A$2:$BQ$15,43,FALSE))</f>
        <v>Poids de l'œuf</v>
      </c>
      <c r="C20" s="241" t="str">
        <f>IF(Data!$C$15="","",VLOOKUP(Data!$C$15,Traduction!$A$2:$BZ$13,75,FALSE))</f>
        <v>g</v>
      </c>
      <c r="N20" s="382"/>
    </row>
    <row r="21" spans="1:14" x14ac:dyDescent="0.2">
      <c r="B21" s="176" t="str">
        <f>IF($C$10="","",VLOOKUP($C$10,Traduction!$A$2:$BQ$15,44,FALSE))</f>
        <v>Conso d'aliment</v>
      </c>
      <c r="C21" s="241" t="str">
        <f>IF(Data!$C$15="","",VLOOKUP(Data!$C$15,Traduction!$A$2:$BZ$13,73,FALSE))</f>
        <v>g/jour</v>
      </c>
      <c r="N21" s="382"/>
    </row>
    <row r="22" spans="1:14" x14ac:dyDescent="0.2">
      <c r="B22" s="176" t="str">
        <f>IF($C$10="","",VLOOKUP($C$10,Traduction!$A$2:$BQ$15,45,FALSE))</f>
        <v>Conso d'eau</v>
      </c>
      <c r="C22" s="241" t="str">
        <f>IF(Data!$C$15="","",VLOOKUP(Data!$C$15,Traduction!$A$2:$BZ$13,74,FALSE))</f>
        <v>l/jour</v>
      </c>
      <c r="N22" s="382"/>
    </row>
    <row r="23" spans="1:14" x14ac:dyDescent="0.2">
      <c r="B23" s="176" t="str">
        <f>IF($C$10="","",VLOOKUP($C$10,Traduction!$A$2:$BQ$15,35,FALSE))</f>
        <v>Min.</v>
      </c>
      <c r="C23" s="241" t="str">
        <f>IF(Data!$C$15="","",VLOOKUP(Data!$C$15,Traduction!$A$2:$BZ$13,75,FALSE))</f>
        <v>g</v>
      </c>
      <c r="N23" s="382"/>
    </row>
    <row r="24" spans="1:14" ht="20.25" x14ac:dyDescent="0.3">
      <c r="A24" s="443" t="str">
        <f>IF($C$10="","",VLOOKUP($C$10,Traduction!$A$21:$T$31,7,FALSE))</f>
        <v>OU</v>
      </c>
      <c r="B24" s="443"/>
      <c r="C24" s="443"/>
      <c r="D24" s="443"/>
      <c r="E24" s="443"/>
      <c r="F24" s="443"/>
      <c r="G24" s="443"/>
      <c r="H24" s="443"/>
      <c r="I24" s="443"/>
    </row>
    <row r="25" spans="1:14" x14ac:dyDescent="0.2">
      <c r="A25" s="176" t="str">
        <f>IF($C$10="","",VLOOKUP($C$10,Traduction!$A$21:$T$31,8,FALSE))</f>
        <v>4 / Onglet Production Data - Weekly input : Saisir les données hebdomadaires de production en POURCENTAGE et en NOMBRE dès la 17ème semaine</v>
      </c>
    </row>
    <row r="26" spans="1:14" x14ac:dyDescent="0.2">
      <c r="B26" s="176" t="str">
        <f>IF($C$10="","",VLOOKUP($C$10,Traduction!$A$2:$BQ$15,19,FALSE))</f>
        <v>Mortalité</v>
      </c>
      <c r="C26" s="241" t="s">
        <v>3</v>
      </c>
    </row>
    <row r="27" spans="1:14" x14ac:dyDescent="0.2">
      <c r="B27" s="176" t="str">
        <f>IF($C$10="","",VLOOKUP($C$10,Traduction!$A$2:$BQ$15,26,FALSE))</f>
        <v>Production</v>
      </c>
      <c r="C27" s="241" t="s">
        <v>3</v>
      </c>
    </row>
    <row r="28" spans="1:14" x14ac:dyDescent="0.2">
      <c r="B28" s="176" t="str">
        <f>IF($C$10="","",VLOOKUP($C$10,Traduction!$A$2:$BQ$15,56,FALSE))</f>
        <v>Déclassés</v>
      </c>
      <c r="C28" s="241" t="s">
        <v>3</v>
      </c>
    </row>
    <row r="29" spans="1:14" x14ac:dyDescent="0.2">
      <c r="B29" s="176" t="str">
        <f>IF($C$10="","",VLOOKUP($C$10,Traduction!$A$2:$BQ$15,43,FALSE))</f>
        <v>Poids de l'œuf</v>
      </c>
      <c r="C29" s="241" t="str">
        <f>IF(Data!$C$15="","",VLOOKUP(Data!$C$15,Traduction!$A$2:$BZ$13,75,FALSE))</f>
        <v>g</v>
      </c>
    </row>
    <row r="30" spans="1:14" x14ac:dyDescent="0.2">
      <c r="B30" s="176" t="str">
        <f>IF($C$10="","",VLOOKUP($C$10,Traduction!$A$2:$BQ$15,44,FALSE))</f>
        <v>Conso d'aliment</v>
      </c>
      <c r="C30" s="241" t="str">
        <f>IF(Data!$C$15="","",VLOOKUP(Data!$C$15,Traduction!$A$2:$BZ$13,73,FALSE))</f>
        <v>g/jour</v>
      </c>
    </row>
    <row r="31" spans="1:14" x14ac:dyDescent="0.2">
      <c r="B31" s="176" t="str">
        <f>IF($C$10="","",VLOOKUP($C$10,Traduction!$A$2:$BQ$15,45,FALSE))</f>
        <v>Conso d'eau</v>
      </c>
      <c r="C31" s="241" t="str">
        <f>IF(Data!$C$15="","",VLOOKUP(Data!$C$15,Traduction!$A$2:$BZ$13,76,FALSE))</f>
        <v>l</v>
      </c>
    </row>
    <row r="32" spans="1:14" x14ac:dyDescent="0.2">
      <c r="B32" s="176" t="str">
        <f>IF($C$10="","",VLOOKUP($C$10,Traduction!$A$2:$BQ$15,35,FALSE))</f>
        <v>Min.</v>
      </c>
      <c r="C32" s="241" t="str">
        <f>IF(Data!$C$15="","",VLOOKUP(Data!$C$15,Traduction!$A$2:$BZ$13,75,FALSE))</f>
        <v>g</v>
      </c>
    </row>
    <row r="35" spans="1:9" ht="26.25" x14ac:dyDescent="0.4">
      <c r="A35" s="444" t="str">
        <f>IF($C$10="","",VLOOKUP($C$10,Traduction!$A$21:$T$31,9,FALSE))</f>
        <v>Synthèse des résultats</v>
      </c>
      <c r="B35" s="444"/>
      <c r="C35" s="444"/>
      <c r="D35" s="444"/>
      <c r="E35" s="444"/>
      <c r="F35" s="444"/>
      <c r="G35" s="444"/>
      <c r="H35" s="444"/>
      <c r="I35" s="444"/>
    </row>
    <row r="37" spans="1:9" x14ac:dyDescent="0.2">
      <c r="A37" s="176" t="str">
        <f>IF($C$10="","",VLOOKUP($C$10,Traduction!$A$21:$T$31,10,FALSE))</f>
        <v>Tous les calculs et les graphiques se font automatiquement.</v>
      </c>
    </row>
    <row r="39" spans="1:9" x14ac:dyDescent="0.2">
      <c r="A39" s="176" t="str">
        <f>IF($C$10="","",VLOOKUP($C$10,Traduction!$A$21:$T$31,11,FALSE))</f>
        <v>Onglet Rearing Data - Table : Synthèse des résultats techniques de la partie élevage</v>
      </c>
    </row>
    <row r="40" spans="1:9" x14ac:dyDescent="0.2">
      <c r="A40" s="176" t="str">
        <f>IF($C$10="","",VLOOKUP($C$10,Traduction!$A$21:$T$31,12,FALSE))</f>
        <v>Onglet  Growing curve : Courbe de croissance</v>
      </c>
    </row>
    <row r="41" spans="1:9" x14ac:dyDescent="0.2">
      <c r="A41" s="176" t="str">
        <f>IF($C$10="","",VLOOKUP($C$10,Traduction!$A$21:$T$31,13,FALSE))</f>
        <v>Onglet Production Data - Table : Synthèse des résultats techniques de production</v>
      </c>
    </row>
    <row r="42" spans="1:9" x14ac:dyDescent="0.2">
      <c r="A42" s="176" t="str">
        <f>IF($C$10="","",VLOOKUP($C$10,Traduction!$A$21:$T$31,14,FALSE))</f>
        <v>Onglet Production graph : Courbe de production</v>
      </c>
    </row>
    <row r="43" spans="1:9" x14ac:dyDescent="0.2">
      <c r="A43" s="176" t="str">
        <f>IF($C$10="","",VLOOKUP($C$10,Traduction!$A$21:$T$31,15,FALSE))</f>
        <v>Onglet Second eggs graph : Evolution du taux de déclassés</v>
      </c>
    </row>
    <row r="44" spans="1:9" x14ac:dyDescent="0.2">
      <c r="A44" s="176" t="str">
        <f>IF($C$10="","",VLOOKUP($C$10,Traduction!$A$21:$T$31,16,FALSE))</f>
        <v>Onglet  Eggmass graph : Evolution de la masse d'œuf produite et de l'indice par Kg d'œufs</v>
      </c>
    </row>
    <row r="45" spans="1:9" x14ac:dyDescent="0.2">
      <c r="A45" s="176" t="str">
        <f>IF($C$10="","",VLOOKUP($C$10,Traduction!$A$21:$T$31,17,FALSE))</f>
        <v>Onglet Synthesis : Synthèse des performances technico-économiques toutes les 5 semaines</v>
      </c>
    </row>
  </sheetData>
  <sheetProtection password="CECC" sheet="1" objects="1" scenarios="1"/>
  <mergeCells count="4">
    <mergeCell ref="A24:I24"/>
    <mergeCell ref="A35:I35"/>
    <mergeCell ref="A5:K5"/>
    <mergeCell ref="A8:K8"/>
  </mergeCells>
  <pageMargins left="0.70866141732283472" right="0.70866141732283472" top="0.74803149606299213" bottom="0.74803149606299213" header="0.31496062992125984" footer="0.31496062992125984"/>
  <pageSetup paperSize="9" scale="67" orientation="portrait" r:id="rId1"/>
  <headerFooter>
    <oddHeader>&amp;L&amp;G&amp;R&amp;G</oddHeader>
  </headerFooter>
  <ignoredErrors>
    <ignoredError sqref="B18" formula="1"/>
  </ignoredError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Traduction!$A$2:$A$7</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002060"/>
    <pageSetUpPr fitToPage="1"/>
  </sheetPr>
  <dimension ref="A5:M67"/>
  <sheetViews>
    <sheetView showGridLines="0" zoomScaleNormal="100" workbookViewId="0">
      <selection activeCell="H11" sqref="H11"/>
    </sheetView>
  </sheetViews>
  <sheetFormatPr baseColWidth="10" defaultRowHeight="12.75" x14ac:dyDescent="0.2"/>
  <cols>
    <col min="1" max="1" width="5.42578125" style="140" customWidth="1"/>
    <col min="2" max="2" width="23" style="140" customWidth="1"/>
    <col min="3" max="4" width="22.7109375" style="140" customWidth="1"/>
    <col min="5" max="5" width="6.42578125" style="140" customWidth="1"/>
    <col min="6" max="6" width="28.85546875" style="242" customWidth="1"/>
    <col min="7" max="10" width="11.42578125" style="140"/>
    <col min="11" max="11" width="21" style="140" customWidth="1"/>
    <col min="12" max="16384" width="11.42578125" style="140"/>
  </cols>
  <sheetData>
    <row r="5" spans="1:13" x14ac:dyDescent="0.2">
      <c r="K5" s="240" t="s">
        <v>181</v>
      </c>
    </row>
    <row r="13" spans="1:13" ht="26.25" customHeight="1" x14ac:dyDescent="0.4">
      <c r="A13" s="450"/>
      <c r="B13" s="450"/>
      <c r="C13" s="450"/>
      <c r="D13" s="450"/>
      <c r="E13" s="450"/>
      <c r="F13" s="450"/>
      <c r="G13" s="243"/>
      <c r="H13" s="243"/>
      <c r="I13" s="243"/>
      <c r="J13" s="243"/>
      <c r="K13" s="243"/>
      <c r="L13" s="243"/>
      <c r="M13" s="243"/>
    </row>
    <row r="14" spans="1:13" ht="18.75" x14ac:dyDescent="0.3">
      <c r="A14" s="454"/>
      <c r="B14" s="454"/>
      <c r="C14" s="454"/>
      <c r="D14" s="454"/>
      <c r="E14" s="454"/>
      <c r="F14" s="454"/>
    </row>
    <row r="15" spans="1:13" ht="9" hidden="1" customHeight="1" x14ac:dyDescent="0.2">
      <c r="C15" s="240" t="str">
        <f>'How to use'!$C$10</f>
        <v>Français</v>
      </c>
    </row>
    <row r="16" spans="1:13" ht="9" hidden="1" customHeight="1" x14ac:dyDescent="0.2"/>
    <row r="17" spans="1:6" ht="18.75" x14ac:dyDescent="0.3">
      <c r="A17" s="454"/>
      <c r="B17" s="454"/>
      <c r="C17" s="454"/>
      <c r="D17" s="454"/>
      <c r="E17" s="454"/>
      <c r="F17" s="454"/>
    </row>
    <row r="19" spans="1:6" ht="20.100000000000001" customHeight="1" x14ac:dyDescent="0.25">
      <c r="A19" s="244"/>
      <c r="B19" s="455" t="str">
        <f>IF($C$15="","",VLOOKUP($C$15,Traduction!$A$2:$BL$13,3,FALSE))</f>
        <v>Période d'élevage</v>
      </c>
      <c r="C19" s="455"/>
      <c r="D19" s="455"/>
      <c r="E19" s="455"/>
      <c r="F19" s="455"/>
    </row>
    <row r="20" spans="1:6" ht="20.100000000000001" customHeight="1" x14ac:dyDescent="0.2">
      <c r="A20" s="245"/>
      <c r="B20" s="245"/>
      <c r="C20" s="245"/>
      <c r="D20" s="245"/>
      <c r="E20" s="245"/>
      <c r="F20" s="246"/>
    </row>
    <row r="21" spans="1:6" ht="20.100000000000001" customHeight="1" x14ac:dyDescent="0.2">
      <c r="A21" s="245"/>
      <c r="B21" s="451" t="str">
        <f>IF($C$15="","",VLOOKUP($C$15,Traduction!$A$2:$BR$13,4,FALSE))</f>
        <v>Pays</v>
      </c>
      <c r="C21" s="452"/>
      <c r="D21" s="452"/>
      <c r="E21" s="453"/>
      <c r="F21" s="137"/>
    </row>
    <row r="22" spans="1:6" ht="20.100000000000001" customHeight="1" x14ac:dyDescent="0.2">
      <c r="A22" s="245"/>
      <c r="B22" s="451" t="str">
        <f>IF($C$15="","",VLOOKUP($C$15,Traduction!$A$2:$BR$13,5,FALSE))</f>
        <v>Société</v>
      </c>
      <c r="C22" s="452"/>
      <c r="D22" s="452"/>
      <c r="E22" s="453"/>
      <c r="F22" s="137"/>
    </row>
    <row r="23" spans="1:6" ht="20.100000000000001" customHeight="1" x14ac:dyDescent="0.2">
      <c r="A23" s="245"/>
      <c r="B23" s="451" t="str">
        <f>IF($C$15="","",VLOOKUP($C$15,Traduction!$A$2:$BR$13,6,FALSE))</f>
        <v>Ferme</v>
      </c>
      <c r="C23" s="452"/>
      <c r="D23" s="452"/>
      <c r="E23" s="453"/>
      <c r="F23" s="137"/>
    </row>
    <row r="24" spans="1:6" ht="20.100000000000001" customHeight="1" x14ac:dyDescent="0.2">
      <c r="A24" s="245"/>
      <c r="B24" s="451" t="str">
        <f>IF($C$15="","",VLOOKUP($C$15,Traduction!$A$2:$BR$13,7,FALSE))</f>
        <v>Poulailler</v>
      </c>
      <c r="C24" s="452"/>
      <c r="D24" s="452"/>
      <c r="E24" s="453"/>
      <c r="F24" s="137"/>
    </row>
    <row r="25" spans="1:6" ht="20.100000000000001" customHeight="1" x14ac:dyDescent="0.2">
      <c r="A25" s="245"/>
      <c r="B25" s="451" t="str">
        <f>IF($C$15="","",VLOOKUP($C$15,Traduction!$A$2:$BR$13,8,FALSE))</f>
        <v>Lignée</v>
      </c>
      <c r="C25" s="452"/>
      <c r="D25" s="452"/>
      <c r="E25" s="453"/>
      <c r="F25" s="137"/>
    </row>
    <row r="26" spans="1:6" ht="20.100000000000001" customHeight="1" x14ac:dyDescent="0.2">
      <c r="A26" s="245"/>
      <c r="B26" s="451" t="str">
        <f>IF($C$15="","",VLOOKUP($C$15,Traduction!$A$2:$BR$13,9,FALSE))</f>
        <v>Nombre</v>
      </c>
      <c r="C26" s="452"/>
      <c r="D26" s="452"/>
      <c r="E26" s="453"/>
      <c r="F26" s="138"/>
    </row>
    <row r="27" spans="1:6" ht="20.100000000000001" customHeight="1" x14ac:dyDescent="0.2">
      <c r="A27" s="245"/>
      <c r="B27" s="451" t="str">
        <f>IF($C$15="","",VLOOKUP($C$15,Traduction!$A$2:$BR$13,10,FALSE))</f>
        <v>Date d'éclosion</v>
      </c>
      <c r="C27" s="452"/>
      <c r="D27" s="452"/>
      <c r="E27" s="453"/>
      <c r="F27" s="139"/>
    </row>
    <row r="28" spans="1:6" ht="20.100000000000001" customHeight="1" x14ac:dyDescent="0.2">
      <c r="A28" s="245"/>
      <c r="E28" s="141"/>
      <c r="F28" s="142"/>
    </row>
    <row r="29" spans="1:6" ht="20.100000000000001" customHeight="1" x14ac:dyDescent="0.25">
      <c r="A29" s="244"/>
      <c r="B29" s="455" t="str">
        <f>IF($C$15="","",VLOOKUP($C$15,Traduction!$A$2:$BR$13,14,FALSE))</f>
        <v>Période de production</v>
      </c>
      <c r="C29" s="455"/>
      <c r="D29" s="455"/>
      <c r="E29" s="455"/>
      <c r="F29" s="455"/>
    </row>
    <row r="30" spans="1:6" ht="20.100000000000001" customHeight="1" x14ac:dyDescent="0.2">
      <c r="A30" s="245"/>
      <c r="E30" s="141"/>
      <c r="F30" s="142"/>
    </row>
    <row r="31" spans="1:6" ht="20.100000000000001" customHeight="1" x14ac:dyDescent="0.2">
      <c r="A31" s="245"/>
      <c r="B31" s="451" t="str">
        <f>IF($C$15="","",VLOOKUP($C$15,Traduction!$A$2:$BR$13,4,FALSE))</f>
        <v>Pays</v>
      </c>
      <c r="C31" s="452"/>
      <c r="D31" s="452"/>
      <c r="E31" s="453"/>
      <c r="F31" s="137"/>
    </row>
    <row r="32" spans="1:6" ht="20.100000000000001" customHeight="1" x14ac:dyDescent="0.2">
      <c r="A32" s="245"/>
      <c r="B32" s="451" t="str">
        <f>IF($C$15="","",VLOOKUP($C$15,Traduction!$A$2:$BR$13,5,FALSE))</f>
        <v>Société</v>
      </c>
      <c r="C32" s="452"/>
      <c r="D32" s="452"/>
      <c r="E32" s="453"/>
      <c r="F32" s="137"/>
    </row>
    <row r="33" spans="1:6" ht="20.100000000000001" customHeight="1" x14ac:dyDescent="0.2">
      <c r="A33" s="245"/>
      <c r="B33" s="451" t="str">
        <f>IF($C$15="","",VLOOKUP($C$15,Traduction!$A$2:$BR$13,6,FALSE))</f>
        <v>Ferme</v>
      </c>
      <c r="C33" s="452"/>
      <c r="D33" s="452"/>
      <c r="E33" s="453"/>
      <c r="F33" s="137"/>
    </row>
    <row r="34" spans="1:6" ht="20.100000000000001" customHeight="1" x14ac:dyDescent="0.2">
      <c r="A34" s="245"/>
      <c r="B34" s="451" t="str">
        <f>IF($C$15="","",VLOOKUP($C$15,Traduction!$A$2:$BR$13,7,FALSE))</f>
        <v>Poulailler</v>
      </c>
      <c r="C34" s="452"/>
      <c r="D34" s="452"/>
      <c r="E34" s="453"/>
      <c r="F34" s="137"/>
    </row>
    <row r="35" spans="1:6" ht="19.5" customHeight="1" x14ac:dyDescent="0.2">
      <c r="B35" s="451" t="str">
        <f>IF($C$15="","",VLOOKUP($C$15,Traduction!$A$2:$BR$13,16,FALSE))</f>
        <v>Type d'élevage</v>
      </c>
      <c r="C35" s="452"/>
      <c r="D35" s="452"/>
      <c r="E35" s="453"/>
      <c r="F35" s="137"/>
    </row>
    <row r="36" spans="1:6" ht="20.100000000000001" customHeight="1" x14ac:dyDescent="0.2">
      <c r="A36" s="245"/>
      <c r="B36" s="451" t="str">
        <f>IF($C$15="","",VLOOKUP($C$15,Traduction!$A$2:$BR$13,8,FALSE))</f>
        <v>Lignée</v>
      </c>
      <c r="C36" s="452"/>
      <c r="D36" s="452"/>
      <c r="E36" s="453"/>
      <c r="F36" s="143" t="str">
        <f>IF(F25="","",F25)</f>
        <v/>
      </c>
    </row>
    <row r="37" spans="1:6" ht="20.100000000000001" customHeight="1" x14ac:dyDescent="0.2">
      <c r="A37" s="245"/>
      <c r="B37" s="451" t="str">
        <f>IF($C$15="","",VLOOKUP($C$15,Traduction!$A$2:$BR$13,9,FALSE))</f>
        <v>Nombre</v>
      </c>
      <c r="C37" s="452"/>
      <c r="D37" s="452"/>
      <c r="E37" s="453"/>
      <c r="F37" s="138"/>
    </row>
    <row r="38" spans="1:6" ht="20.100000000000001" customHeight="1" x14ac:dyDescent="0.2">
      <c r="A38" s="245"/>
      <c r="B38" s="451" t="str">
        <f>IF($C$15="","",VLOOKUP($C$15,Traduction!$A$2:$BR$13,15,FALSE))</f>
        <v>Date du transfert</v>
      </c>
      <c r="C38" s="452"/>
      <c r="D38" s="452"/>
      <c r="E38" s="453"/>
      <c r="F38" s="139"/>
    </row>
    <row r="39" spans="1:6" ht="20.100000000000001" customHeight="1" x14ac:dyDescent="0.2">
      <c r="A39" s="245"/>
      <c r="B39" s="451" t="str">
        <f>IF($C$15="","",VLOOKUP($C$15,Traduction!$A$2:$BR$13,11,FALSE))</f>
        <v>Date à 18 sem</v>
      </c>
      <c r="C39" s="452"/>
      <c r="D39" s="452"/>
      <c r="E39" s="453"/>
      <c r="F39" s="69" t="str">
        <f>IF(F27&lt;&gt;"",$F$27+126,"")</f>
        <v/>
      </c>
    </row>
    <row r="40" spans="1:6" ht="20.100000000000001" customHeight="1" x14ac:dyDescent="0.2">
      <c r="A40" s="245"/>
      <c r="B40" s="451" t="str">
        <f>IF($C$15="","",VLOOKUP($C$15,Traduction!$A$2:$BR$13,12,FALSE))</f>
        <v>Date à 40 sem</v>
      </c>
      <c r="C40" s="452"/>
      <c r="D40" s="452"/>
      <c r="E40" s="453"/>
      <c r="F40" s="69" t="str">
        <f>IF(F27&lt;&gt;"",$F$27+280,"")</f>
        <v/>
      </c>
    </row>
    <row r="41" spans="1:6" ht="20.100000000000001" customHeight="1" x14ac:dyDescent="0.2">
      <c r="A41" s="245"/>
      <c r="B41" s="451" t="str">
        <f>IF($C$15="","",VLOOKUP($C$15,Traduction!$A$2:$BR$13,13,FALSE))</f>
        <v>Date à 60 sem</v>
      </c>
      <c r="C41" s="452"/>
      <c r="D41" s="452"/>
      <c r="E41" s="453"/>
      <c r="F41" s="69" t="str">
        <f>IF(F27&lt;&gt;"",$F$27+420,"")</f>
        <v/>
      </c>
    </row>
    <row r="46" spans="1:6" ht="13.5" thickBot="1" x14ac:dyDescent="0.25"/>
    <row r="47" spans="1:6" x14ac:dyDescent="0.2">
      <c r="A47" s="260"/>
      <c r="B47" s="247"/>
      <c r="C47" s="247"/>
      <c r="D47" s="247"/>
      <c r="E47" s="247"/>
      <c r="F47" s="248"/>
    </row>
    <row r="48" spans="1:6" ht="15" customHeight="1" x14ac:dyDescent="0.25">
      <c r="A48" s="260"/>
      <c r="B48" s="446" t="s">
        <v>42</v>
      </c>
      <c r="C48" s="446"/>
      <c r="D48" s="446"/>
      <c r="E48" s="446"/>
      <c r="F48" s="447"/>
    </row>
    <row r="49" spans="1:6" ht="15" customHeight="1" x14ac:dyDescent="0.25">
      <c r="A49" s="260"/>
      <c r="B49" s="446" t="s">
        <v>43</v>
      </c>
      <c r="C49" s="446"/>
      <c r="D49" s="446"/>
      <c r="E49" s="446"/>
      <c r="F49" s="447"/>
    </row>
    <row r="50" spans="1:6" ht="15" customHeight="1" x14ac:dyDescent="0.25">
      <c r="A50" s="260"/>
      <c r="B50" s="446" t="s">
        <v>44</v>
      </c>
      <c r="C50" s="446"/>
      <c r="D50" s="446"/>
      <c r="E50" s="446"/>
      <c r="F50" s="447"/>
    </row>
    <row r="51" spans="1:6" ht="15" customHeight="1" x14ac:dyDescent="0.25">
      <c r="A51" s="260"/>
      <c r="B51" s="446" t="s">
        <v>45</v>
      </c>
      <c r="C51" s="446"/>
      <c r="D51" s="446"/>
      <c r="E51" s="446"/>
      <c r="F51" s="447"/>
    </row>
    <row r="52" spans="1:6" ht="15" customHeight="1" x14ac:dyDescent="0.25">
      <c r="A52" s="260"/>
      <c r="B52" s="448" t="s">
        <v>1</v>
      </c>
      <c r="C52" s="448"/>
      <c r="D52" s="448"/>
      <c r="E52" s="448"/>
      <c r="F52" s="449"/>
    </row>
    <row r="53" spans="1:6" ht="13.5" thickBot="1" x14ac:dyDescent="0.25">
      <c r="A53" s="260"/>
      <c r="B53" s="249"/>
      <c r="C53" s="249"/>
      <c r="D53" s="249"/>
      <c r="E53" s="249"/>
      <c r="F53" s="250">
        <v>42125</v>
      </c>
    </row>
    <row r="58" spans="1:6" x14ac:dyDescent="0.2">
      <c r="A58" s="240" t="str">
        <f>IF('How to use'!$C$10="","",VLOOKUP('How to use'!$C$10,Traduction!$A$2:$BQ$15,65,FALSE))</f>
        <v>Cages</v>
      </c>
      <c r="B58" s="251"/>
    </row>
    <row r="59" spans="1:6" x14ac:dyDescent="0.2">
      <c r="A59" s="240" t="str">
        <f>IF('How to use'!$C$10="","",VLOOKUP('How to use'!$C$10,Traduction!$A$2:$BQ$15,66,FALSE))</f>
        <v>Plein Air</v>
      </c>
      <c r="B59" s="251"/>
    </row>
    <row r="60" spans="1:6" x14ac:dyDescent="0.2">
      <c r="A60" s="240" t="str">
        <f>IF('How to use'!$C$10="","",VLOOKUP('How to use'!$C$10,Traduction!$A$2:$BQ$15,67,FALSE))</f>
        <v>Bio</v>
      </c>
      <c r="B60" s="251"/>
    </row>
    <row r="61" spans="1:6" x14ac:dyDescent="0.2">
      <c r="A61" s="240" t="str">
        <f>IF('How to use'!$C$10="","",VLOOKUP('How to use'!$C$10,Traduction!$A$2:$BQ$15,68,FALSE))</f>
        <v>Volière</v>
      </c>
      <c r="B61" s="251"/>
    </row>
    <row r="62" spans="1:6" x14ac:dyDescent="0.2">
      <c r="A62" s="240" t="str">
        <f>IF('How to use'!$C$10="","",VLOOKUP('How to use'!$C$10,Traduction!$A$2:$BQ$15,69,FALSE))</f>
        <v>Sol</v>
      </c>
      <c r="B62" s="251"/>
    </row>
    <row r="63" spans="1:6" x14ac:dyDescent="0.2">
      <c r="A63" s="240" t="s">
        <v>124</v>
      </c>
    </row>
    <row r="64" spans="1:6" x14ac:dyDescent="0.2">
      <c r="A64" s="240" t="s">
        <v>133</v>
      </c>
    </row>
    <row r="65" spans="1:1" x14ac:dyDescent="0.2">
      <c r="A65" s="240" t="s">
        <v>134</v>
      </c>
    </row>
    <row r="66" spans="1:1" x14ac:dyDescent="0.2">
      <c r="A66" s="240" t="s">
        <v>135</v>
      </c>
    </row>
    <row r="67" spans="1:1" x14ac:dyDescent="0.2">
      <c r="A67" s="240" t="s">
        <v>136</v>
      </c>
    </row>
  </sheetData>
  <sheetProtection password="CECC" sheet="1" objects="1" scenarios="1"/>
  <mergeCells count="28">
    <mergeCell ref="B41:E41"/>
    <mergeCell ref="B39:E39"/>
    <mergeCell ref="B36:E36"/>
    <mergeCell ref="B29:F29"/>
    <mergeCell ref="B31:E31"/>
    <mergeCell ref="B40:E40"/>
    <mergeCell ref="B35:E35"/>
    <mergeCell ref="B37:E37"/>
    <mergeCell ref="A13:F13"/>
    <mergeCell ref="B38:E38"/>
    <mergeCell ref="B24:E24"/>
    <mergeCell ref="B33:E33"/>
    <mergeCell ref="B25:E25"/>
    <mergeCell ref="B34:E34"/>
    <mergeCell ref="A14:F14"/>
    <mergeCell ref="A17:F17"/>
    <mergeCell ref="B19:F19"/>
    <mergeCell ref="B26:E26"/>
    <mergeCell ref="B32:E32"/>
    <mergeCell ref="B21:E21"/>
    <mergeCell ref="B22:E22"/>
    <mergeCell ref="B23:E23"/>
    <mergeCell ref="B27:E27"/>
    <mergeCell ref="B48:F48"/>
    <mergeCell ref="B49:F49"/>
    <mergeCell ref="B50:F50"/>
    <mergeCell ref="B51:F51"/>
    <mergeCell ref="B52:F52"/>
  </mergeCells>
  <phoneticPr fontId="3" type="noConversion"/>
  <dataValidations count="2">
    <dataValidation type="list" allowBlank="1" showInputMessage="1" showErrorMessage="1" sqref="C15:C16 C18">
      <formula1>$K$5:$K$5</formula1>
    </dataValidation>
    <dataValidation type="list" allowBlank="1" showInputMessage="1" showErrorMessage="1" sqref="F35">
      <formula1>$A$58:$A$62</formula1>
    </dataValidation>
  </dataValidations>
  <hyperlinks>
    <hyperlink ref="B52" r:id="rId1"/>
  </hyperlinks>
  <pageMargins left="0.78740157480314965" right="0.78740157480314965" top="0.98425196850393704" bottom="0.98425196850393704" header="0.51181102362204722" footer="0.51181102362204722"/>
  <pageSetup paperSize="9" scale="79" orientation="portrait" r:id="rId2"/>
  <headerFooter alignWithMargins="0">
    <oddHeader xml:space="preserve">&amp;L
</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Traduction!$A$28:$A$29</xm:f>
          </x14:formula1>
          <xm:sqref>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CA29"/>
  <sheetViews>
    <sheetView workbookViewId="0">
      <selection activeCell="I1" sqref="I1:I1048576"/>
    </sheetView>
  </sheetViews>
  <sheetFormatPr baseColWidth="10" defaultRowHeight="12.75" x14ac:dyDescent="0.2"/>
  <cols>
    <col min="1" max="1" width="7.7109375" style="4" customWidth="1"/>
    <col min="2" max="3" width="11.42578125" style="4"/>
    <col min="4" max="4" width="7.7109375" style="4" customWidth="1"/>
    <col min="5" max="5" width="5.140625" style="4" customWidth="1"/>
    <col min="6" max="9" width="7.7109375" style="4" customWidth="1"/>
    <col min="10" max="16" width="11.42578125" style="4"/>
    <col min="17" max="17" width="5.5703125" style="4" customWidth="1"/>
    <col min="18" max="29" width="11.42578125" style="4"/>
    <col min="30" max="30" width="7.85546875" style="4" customWidth="1"/>
    <col min="31" max="48" width="11.42578125" style="4"/>
    <col min="49" max="49" width="22.42578125" style="4" bestFit="1" customWidth="1"/>
    <col min="50" max="52" width="11.42578125" style="4"/>
    <col min="53" max="54" width="6.85546875" style="4" customWidth="1"/>
    <col min="55" max="55" width="11.42578125" style="4"/>
    <col min="56" max="56" width="18.85546875" style="4" customWidth="1"/>
    <col min="57" max="58" width="6.7109375" style="4" customWidth="1"/>
    <col min="59" max="59" width="18.42578125" style="4" customWidth="1"/>
    <col min="60" max="60" width="19.140625" style="4" customWidth="1"/>
    <col min="61" max="61" width="18.140625" style="4" customWidth="1"/>
    <col min="62" max="16384" width="11.42578125" style="4"/>
  </cols>
  <sheetData>
    <row r="1" spans="1:79" x14ac:dyDescent="0.2">
      <c r="A1" s="4">
        <v>1</v>
      </c>
      <c r="B1" s="4">
        <v>2</v>
      </c>
      <c r="C1" s="4">
        <v>3</v>
      </c>
      <c r="D1" s="4">
        <v>4</v>
      </c>
      <c r="E1" s="4">
        <v>5</v>
      </c>
      <c r="F1" s="4">
        <v>6</v>
      </c>
      <c r="G1" s="4">
        <v>7</v>
      </c>
      <c r="H1" s="4">
        <v>8</v>
      </c>
      <c r="I1" s="4">
        <v>9</v>
      </c>
      <c r="J1" s="4">
        <v>10</v>
      </c>
      <c r="K1" s="4">
        <v>11</v>
      </c>
      <c r="L1" s="4">
        <v>12</v>
      </c>
      <c r="M1" s="4">
        <v>13</v>
      </c>
      <c r="N1" s="4">
        <v>14</v>
      </c>
      <c r="O1" s="4">
        <v>15</v>
      </c>
      <c r="P1" s="4">
        <v>16</v>
      </c>
      <c r="Q1" s="4">
        <v>17</v>
      </c>
      <c r="R1" s="4">
        <v>18</v>
      </c>
      <c r="S1" s="4">
        <v>19</v>
      </c>
      <c r="T1" s="4">
        <v>20</v>
      </c>
      <c r="U1" s="4">
        <v>21</v>
      </c>
      <c r="V1" s="4">
        <v>22</v>
      </c>
      <c r="W1" s="4">
        <v>23</v>
      </c>
      <c r="X1" s="4">
        <v>24</v>
      </c>
      <c r="Y1" s="4">
        <v>25</v>
      </c>
      <c r="Z1" s="4">
        <v>26</v>
      </c>
      <c r="AA1" s="4">
        <v>27</v>
      </c>
      <c r="AB1" s="4">
        <v>28</v>
      </c>
      <c r="AC1" s="4">
        <v>29</v>
      </c>
      <c r="AD1" s="4">
        <v>30</v>
      </c>
      <c r="AE1" s="4">
        <v>31</v>
      </c>
      <c r="AF1" s="4">
        <v>32</v>
      </c>
      <c r="AG1" s="4">
        <v>33</v>
      </c>
      <c r="AH1" s="4">
        <v>34</v>
      </c>
      <c r="AI1" s="4">
        <v>35</v>
      </c>
      <c r="AJ1" s="4">
        <v>36</v>
      </c>
      <c r="AK1" s="4">
        <v>37</v>
      </c>
      <c r="AL1" s="4">
        <v>38</v>
      </c>
      <c r="AM1" s="4">
        <v>39</v>
      </c>
      <c r="AN1" s="4">
        <v>40</v>
      </c>
      <c r="AO1" s="4">
        <v>41</v>
      </c>
      <c r="AP1" s="4">
        <v>42</v>
      </c>
      <c r="AQ1" s="4">
        <v>43</v>
      </c>
      <c r="AR1" s="4">
        <v>44</v>
      </c>
      <c r="AS1" s="4">
        <v>45</v>
      </c>
      <c r="AT1" s="4">
        <v>46</v>
      </c>
      <c r="AU1" s="4">
        <v>47</v>
      </c>
      <c r="AV1" s="4">
        <v>48</v>
      </c>
      <c r="AW1" s="4">
        <v>49</v>
      </c>
      <c r="AX1" s="4">
        <v>50</v>
      </c>
      <c r="AY1" s="4">
        <v>51</v>
      </c>
      <c r="AZ1" s="4">
        <v>52</v>
      </c>
      <c r="BA1" s="4">
        <v>53</v>
      </c>
      <c r="BB1" s="4">
        <v>54</v>
      </c>
      <c r="BC1" s="4">
        <v>55</v>
      </c>
      <c r="BD1" s="4">
        <v>56</v>
      </c>
      <c r="BE1" s="4">
        <v>57</v>
      </c>
      <c r="BF1" s="4">
        <v>58</v>
      </c>
      <c r="BG1" s="4">
        <v>59</v>
      </c>
      <c r="BH1" s="4">
        <v>60</v>
      </c>
      <c r="BI1" s="4">
        <v>61</v>
      </c>
      <c r="BJ1" s="4">
        <v>62</v>
      </c>
      <c r="BK1" s="4">
        <v>63</v>
      </c>
      <c r="BL1" s="4">
        <v>64</v>
      </c>
      <c r="BM1" s="4">
        <v>65</v>
      </c>
      <c r="BN1" s="4">
        <v>66</v>
      </c>
      <c r="BO1" s="4">
        <v>67</v>
      </c>
      <c r="BP1" s="4">
        <v>68</v>
      </c>
      <c r="BQ1" s="4">
        <v>69</v>
      </c>
      <c r="BR1" s="4">
        <v>70</v>
      </c>
      <c r="BS1" s="4">
        <v>71</v>
      </c>
      <c r="BT1" s="4">
        <v>72</v>
      </c>
      <c r="BU1" s="4">
        <v>73</v>
      </c>
      <c r="BV1" s="4">
        <v>74</v>
      </c>
      <c r="BW1" s="4">
        <v>75</v>
      </c>
      <c r="BX1" s="4">
        <v>76</v>
      </c>
      <c r="BY1" s="4">
        <v>77</v>
      </c>
      <c r="BZ1" s="4">
        <v>78</v>
      </c>
      <c r="CA1" s="4">
        <v>79</v>
      </c>
    </row>
    <row r="2" spans="1:79" x14ac:dyDescent="0.2">
      <c r="A2" s="4" t="s">
        <v>182</v>
      </c>
      <c r="B2" s="4" t="s">
        <v>186</v>
      </c>
      <c r="C2" s="4" t="s">
        <v>184</v>
      </c>
      <c r="D2" s="4" t="s">
        <v>9</v>
      </c>
      <c r="E2" s="4" t="s">
        <v>37</v>
      </c>
      <c r="F2" s="4" t="s">
        <v>17</v>
      </c>
      <c r="G2" s="4" t="s">
        <v>10</v>
      </c>
      <c r="H2" s="4" t="s">
        <v>284</v>
      </c>
      <c r="I2" s="4" t="s">
        <v>23</v>
      </c>
      <c r="J2" s="4" t="s">
        <v>0</v>
      </c>
      <c r="K2" s="4" t="s">
        <v>101</v>
      </c>
      <c r="L2" s="4" t="s">
        <v>177</v>
      </c>
      <c r="M2" s="4" t="s">
        <v>178</v>
      </c>
      <c r="N2" s="4" t="s">
        <v>187</v>
      </c>
      <c r="O2" s="4" t="s">
        <v>34</v>
      </c>
      <c r="P2" s="4" t="s">
        <v>122</v>
      </c>
      <c r="R2" s="4" t="s">
        <v>267</v>
      </c>
      <c r="S2" s="4" t="s">
        <v>27</v>
      </c>
      <c r="T2" s="4" t="s">
        <v>13</v>
      </c>
      <c r="U2" s="4" t="s">
        <v>84</v>
      </c>
      <c r="V2" s="4" t="s">
        <v>272</v>
      </c>
      <c r="W2" s="4" t="s">
        <v>226</v>
      </c>
      <c r="Y2" s="4" t="s">
        <v>536</v>
      </c>
      <c r="Z2" s="4" t="s">
        <v>103</v>
      </c>
      <c r="AA2" s="4" t="s">
        <v>29</v>
      </c>
      <c r="AB2" s="4" t="s">
        <v>207</v>
      </c>
      <c r="AC2" s="4" t="s">
        <v>49</v>
      </c>
      <c r="AD2" s="4" t="s">
        <v>48</v>
      </c>
      <c r="AE2" s="4" t="s">
        <v>227</v>
      </c>
      <c r="AG2" s="4" t="s">
        <v>12</v>
      </c>
      <c r="AH2" s="4" t="s">
        <v>278</v>
      </c>
      <c r="AI2" s="4" t="s">
        <v>538</v>
      </c>
      <c r="AJ2" s="4" t="s">
        <v>539</v>
      </c>
      <c r="AK2" s="4" t="s">
        <v>84</v>
      </c>
      <c r="AL2" s="4" t="s">
        <v>92</v>
      </c>
      <c r="AM2" s="4" t="s">
        <v>65</v>
      </c>
      <c r="AN2" s="4" t="s">
        <v>281</v>
      </c>
      <c r="AO2" s="4" t="s">
        <v>95</v>
      </c>
      <c r="AP2" s="4" t="s">
        <v>96</v>
      </c>
      <c r="AQ2" s="4" t="s">
        <v>26</v>
      </c>
      <c r="AR2" s="4" t="s">
        <v>29</v>
      </c>
      <c r="AS2" s="4" t="s">
        <v>105</v>
      </c>
      <c r="AT2" s="4" t="s">
        <v>30</v>
      </c>
      <c r="AU2" s="4" t="s">
        <v>51</v>
      </c>
      <c r="AV2" s="4" t="s">
        <v>52</v>
      </c>
      <c r="AW2" s="4" t="s">
        <v>28</v>
      </c>
      <c r="AX2" s="4" t="s">
        <v>73</v>
      </c>
      <c r="AY2" s="4" t="s">
        <v>74</v>
      </c>
      <c r="AZ2" s="4" t="s">
        <v>56</v>
      </c>
      <c r="BA2" s="4" t="s">
        <v>63</v>
      </c>
      <c r="BB2" s="4" t="s">
        <v>57</v>
      </c>
      <c r="BC2" s="4" t="s">
        <v>97</v>
      </c>
      <c r="BD2" s="4" t="s">
        <v>79</v>
      </c>
      <c r="BF2" s="4" t="s">
        <v>88</v>
      </c>
      <c r="BG2" s="4" t="s">
        <v>108</v>
      </c>
      <c r="BH2" s="4" t="s">
        <v>109</v>
      </c>
      <c r="BI2" s="4" t="s">
        <v>110</v>
      </c>
      <c r="BJ2" s="4" t="s">
        <v>111</v>
      </c>
      <c r="BK2" s="4" t="s">
        <v>296</v>
      </c>
      <c r="BM2" s="4" t="s">
        <v>124</v>
      </c>
      <c r="BN2" s="4" t="s">
        <v>214</v>
      </c>
      <c r="BO2" s="4" t="s">
        <v>213</v>
      </c>
      <c r="BP2" s="4" t="s">
        <v>215</v>
      </c>
      <c r="BQ2" s="4" t="s">
        <v>220</v>
      </c>
      <c r="BR2" s="4" t="s">
        <v>274</v>
      </c>
      <c r="BS2" s="4" t="s">
        <v>286</v>
      </c>
      <c r="BT2" s="4" t="s">
        <v>297</v>
      </c>
      <c r="BU2" s="4" t="s">
        <v>176</v>
      </c>
      <c r="BV2" s="4" t="s">
        <v>286</v>
      </c>
      <c r="BW2" s="4" t="s">
        <v>175</v>
      </c>
      <c r="BX2" s="4" t="s">
        <v>285</v>
      </c>
      <c r="BY2" s="4" t="s">
        <v>287</v>
      </c>
      <c r="BZ2" s="4" t="s">
        <v>271</v>
      </c>
      <c r="CA2" s="4" t="s">
        <v>167</v>
      </c>
    </row>
    <row r="3" spans="1:79" x14ac:dyDescent="0.2">
      <c r="A3" s="4" t="s">
        <v>181</v>
      </c>
      <c r="B3" s="4" t="s">
        <v>185</v>
      </c>
      <c r="C3" s="4" t="s">
        <v>183</v>
      </c>
      <c r="D3" s="4" t="s">
        <v>16</v>
      </c>
      <c r="E3" s="4" t="s">
        <v>38</v>
      </c>
      <c r="F3" s="4" t="s">
        <v>18</v>
      </c>
      <c r="G3" s="4" t="s">
        <v>21</v>
      </c>
      <c r="H3" s="4" t="s">
        <v>22</v>
      </c>
      <c r="I3" s="4" t="s">
        <v>11</v>
      </c>
      <c r="J3" s="4" t="s">
        <v>24</v>
      </c>
      <c r="K3" s="4" t="s">
        <v>102</v>
      </c>
      <c r="L3" s="4" t="s">
        <v>179</v>
      </c>
      <c r="M3" s="4" t="s">
        <v>180</v>
      </c>
      <c r="N3" s="4" t="s">
        <v>188</v>
      </c>
      <c r="O3" s="4" t="s">
        <v>35</v>
      </c>
      <c r="P3" s="4" t="s">
        <v>121</v>
      </c>
      <c r="R3" s="4" t="s">
        <v>267</v>
      </c>
      <c r="S3" s="4" t="s">
        <v>39</v>
      </c>
      <c r="T3" s="4" t="s">
        <v>14</v>
      </c>
      <c r="U3" s="4" t="s">
        <v>269</v>
      </c>
      <c r="V3" s="4" t="s">
        <v>273</v>
      </c>
      <c r="W3" s="4" t="s">
        <v>91</v>
      </c>
      <c r="Y3" s="4" t="s">
        <v>537</v>
      </c>
      <c r="Z3" s="4" t="s">
        <v>103</v>
      </c>
      <c r="AA3" s="4" t="s">
        <v>72</v>
      </c>
      <c r="AB3" s="4" t="s">
        <v>208</v>
      </c>
      <c r="AC3" s="4" t="s">
        <v>50</v>
      </c>
      <c r="AD3" s="4" t="s">
        <v>32</v>
      </c>
      <c r="AE3" s="4" t="s">
        <v>86</v>
      </c>
      <c r="AG3" s="4" t="s">
        <v>571</v>
      </c>
      <c r="AH3" s="4" t="s">
        <v>279</v>
      </c>
      <c r="AI3" s="4" t="s">
        <v>538</v>
      </c>
      <c r="AJ3" s="4" t="s">
        <v>539</v>
      </c>
      <c r="AK3" s="4" t="s">
        <v>85</v>
      </c>
      <c r="AL3" s="4" t="s">
        <v>90</v>
      </c>
      <c r="AM3" s="4" t="s">
        <v>76</v>
      </c>
      <c r="AN3" s="4" t="s">
        <v>282</v>
      </c>
      <c r="AO3" s="4" t="s">
        <v>82</v>
      </c>
      <c r="AP3" s="4" t="s">
        <v>83</v>
      </c>
      <c r="AQ3" s="4" t="s">
        <v>67</v>
      </c>
      <c r="AR3" s="4" t="s">
        <v>104</v>
      </c>
      <c r="AS3" s="4" t="s">
        <v>106</v>
      </c>
      <c r="AT3" s="4" t="s">
        <v>33</v>
      </c>
      <c r="AU3" s="4" t="s">
        <v>70</v>
      </c>
      <c r="AV3" s="4" t="s">
        <v>71</v>
      </c>
      <c r="AW3" s="4" t="s">
        <v>41</v>
      </c>
      <c r="AX3" s="4" t="s">
        <v>58</v>
      </c>
      <c r="AY3" s="4" t="s">
        <v>55</v>
      </c>
      <c r="AZ3" s="4" t="s">
        <v>59</v>
      </c>
      <c r="BA3" s="4" t="s">
        <v>75</v>
      </c>
      <c r="BB3" s="4" t="s">
        <v>60</v>
      </c>
      <c r="BC3" s="4" t="s">
        <v>98</v>
      </c>
      <c r="BD3" s="4" t="s">
        <v>80</v>
      </c>
      <c r="BF3" s="4" t="s">
        <v>87</v>
      </c>
      <c r="BG3" s="4" t="s">
        <v>112</v>
      </c>
      <c r="BH3" s="4" t="s">
        <v>118</v>
      </c>
      <c r="BI3" s="4" t="s">
        <v>114</v>
      </c>
      <c r="BJ3" s="4" t="s">
        <v>115</v>
      </c>
      <c r="BK3" s="4" t="s">
        <v>294</v>
      </c>
      <c r="BM3" s="4" t="s">
        <v>124</v>
      </c>
      <c r="BN3" s="4" t="s">
        <v>221</v>
      </c>
      <c r="BO3" s="4" t="s">
        <v>133</v>
      </c>
      <c r="BP3" s="4" t="s">
        <v>135</v>
      </c>
      <c r="BQ3" s="4" t="s">
        <v>136</v>
      </c>
      <c r="BR3" s="4" t="s">
        <v>275</v>
      </c>
      <c r="BS3" s="4" t="s">
        <v>293</v>
      </c>
      <c r="BT3" s="4" t="s">
        <v>298</v>
      </c>
      <c r="BU3" s="4" t="s">
        <v>301</v>
      </c>
      <c r="BV3" s="4" t="s">
        <v>293</v>
      </c>
      <c r="BW3" s="4" t="s">
        <v>175</v>
      </c>
      <c r="BX3" s="4" t="s">
        <v>285</v>
      </c>
      <c r="BY3" s="4" t="s">
        <v>287</v>
      </c>
      <c r="BZ3" s="4" t="s">
        <v>271</v>
      </c>
      <c r="CA3" s="4" t="s">
        <v>167</v>
      </c>
    </row>
    <row r="4" spans="1:79" x14ac:dyDescent="0.2">
      <c r="A4" s="4" t="s">
        <v>199</v>
      </c>
      <c r="B4" s="4" t="s">
        <v>544</v>
      </c>
      <c r="C4" s="4" t="s">
        <v>240</v>
      </c>
      <c r="D4" s="4" t="s">
        <v>545</v>
      </c>
      <c r="E4" s="4" t="s">
        <v>546</v>
      </c>
      <c r="F4" s="4" t="s">
        <v>19</v>
      </c>
      <c r="G4" s="4" t="s">
        <v>20</v>
      </c>
      <c r="H4" s="4" t="s">
        <v>547</v>
      </c>
      <c r="I4" s="4" t="s">
        <v>46</v>
      </c>
      <c r="J4" s="4" t="s">
        <v>25</v>
      </c>
      <c r="K4" s="4" t="s">
        <v>548</v>
      </c>
      <c r="L4" s="4" t="s">
        <v>549</v>
      </c>
      <c r="M4" s="4" t="s">
        <v>550</v>
      </c>
      <c r="N4" s="4" t="s">
        <v>210</v>
      </c>
      <c r="O4" s="4" t="s">
        <v>36</v>
      </c>
      <c r="P4" s="4" t="s">
        <v>551</v>
      </c>
      <c r="R4" s="4" t="s">
        <v>268</v>
      </c>
      <c r="S4" s="4" t="s">
        <v>69</v>
      </c>
      <c r="T4" s="4" t="s">
        <v>15</v>
      </c>
      <c r="U4" s="4" t="s">
        <v>270</v>
      </c>
      <c r="V4" s="4" t="s">
        <v>119</v>
      </c>
      <c r="W4" s="4" t="s">
        <v>123</v>
      </c>
      <c r="Y4" s="4" t="s">
        <v>552</v>
      </c>
      <c r="Z4" s="4" t="s">
        <v>210</v>
      </c>
      <c r="AA4" s="4" t="s">
        <v>78</v>
      </c>
      <c r="AB4" s="4" t="s">
        <v>209</v>
      </c>
      <c r="AC4" s="4" t="s">
        <v>50</v>
      </c>
      <c r="AD4" s="4" t="s">
        <v>47</v>
      </c>
      <c r="AE4" s="4" t="s">
        <v>553</v>
      </c>
      <c r="AG4" s="4" t="s">
        <v>572</v>
      </c>
      <c r="AH4" s="4" t="s">
        <v>280</v>
      </c>
      <c r="AI4" s="4" t="s">
        <v>540</v>
      </c>
      <c r="AJ4" s="4" t="s">
        <v>541</v>
      </c>
      <c r="AK4" s="4" t="s">
        <v>85</v>
      </c>
      <c r="AL4" s="4" t="s">
        <v>94</v>
      </c>
      <c r="AM4" s="4" t="s">
        <v>66</v>
      </c>
      <c r="AN4" s="4" t="s">
        <v>283</v>
      </c>
      <c r="AO4" s="4" t="s">
        <v>554</v>
      </c>
      <c r="AP4" s="4" t="s">
        <v>555</v>
      </c>
      <c r="AQ4" s="4" t="s">
        <v>68</v>
      </c>
      <c r="AR4" s="4" t="s">
        <v>119</v>
      </c>
      <c r="AS4" s="4" t="s">
        <v>120</v>
      </c>
      <c r="AT4" s="4" t="s">
        <v>53</v>
      </c>
      <c r="AU4" s="4" t="s">
        <v>211</v>
      </c>
      <c r="AV4" s="4" t="s">
        <v>54</v>
      </c>
      <c r="AW4" s="4" t="s">
        <v>40</v>
      </c>
      <c r="AX4" s="4" t="s">
        <v>61</v>
      </c>
      <c r="AY4" s="4" t="s">
        <v>238</v>
      </c>
      <c r="AZ4" s="4" t="s">
        <v>556</v>
      </c>
      <c r="BA4" s="4" t="s">
        <v>31</v>
      </c>
      <c r="BB4" s="4" t="s">
        <v>62</v>
      </c>
      <c r="BC4" s="4" t="s">
        <v>99</v>
      </c>
      <c r="BD4" s="4" t="s">
        <v>81</v>
      </c>
      <c r="BF4" s="4" t="s">
        <v>212</v>
      </c>
      <c r="BG4" s="4" t="s">
        <v>113</v>
      </c>
      <c r="BH4" s="4" t="s">
        <v>116</v>
      </c>
      <c r="BI4" s="4" t="s">
        <v>117</v>
      </c>
      <c r="BJ4" s="4" t="s">
        <v>239</v>
      </c>
      <c r="BK4" s="4" t="s">
        <v>295</v>
      </c>
      <c r="BM4" s="4" t="s">
        <v>216</v>
      </c>
      <c r="BN4" s="4" t="s">
        <v>217</v>
      </c>
      <c r="BO4" s="4" t="s">
        <v>557</v>
      </c>
      <c r="BP4" s="4" t="s">
        <v>218</v>
      </c>
      <c r="BQ4" s="4" t="s">
        <v>219</v>
      </c>
      <c r="BR4" s="4" t="s">
        <v>276</v>
      </c>
      <c r="BS4" s="4" t="s">
        <v>558</v>
      </c>
      <c r="BT4" s="4" t="s">
        <v>299</v>
      </c>
      <c r="BU4" s="4" t="s">
        <v>559</v>
      </c>
      <c r="BV4" s="4" t="s">
        <v>558</v>
      </c>
      <c r="BW4" s="4" t="s">
        <v>175</v>
      </c>
      <c r="BX4" s="4" t="s">
        <v>285</v>
      </c>
      <c r="BY4" s="4" t="s">
        <v>287</v>
      </c>
      <c r="BZ4" s="4" t="s">
        <v>271</v>
      </c>
      <c r="CA4" s="4" t="s">
        <v>167</v>
      </c>
    </row>
    <row r="5" spans="1:79" x14ac:dyDescent="0.2">
      <c r="A5" s="4" t="s">
        <v>445</v>
      </c>
      <c r="B5" s="4" t="s">
        <v>449</v>
      </c>
      <c r="C5" s="4" t="s">
        <v>462</v>
      </c>
      <c r="D5" s="4" t="s">
        <v>463</v>
      </c>
      <c r="E5" s="4" t="s">
        <v>464</v>
      </c>
      <c r="F5" s="4" t="s">
        <v>465</v>
      </c>
      <c r="G5" s="4" t="s">
        <v>466</v>
      </c>
      <c r="H5" s="4" t="s">
        <v>467</v>
      </c>
      <c r="I5" s="4" t="s">
        <v>468</v>
      </c>
      <c r="J5" s="4" t="s">
        <v>469</v>
      </c>
      <c r="K5" s="4" t="s">
        <v>470</v>
      </c>
      <c r="L5" s="4" t="s">
        <v>471</v>
      </c>
      <c r="M5" s="4" t="s">
        <v>472</v>
      </c>
      <c r="N5" s="4" t="s">
        <v>473</v>
      </c>
      <c r="O5" s="4" t="s">
        <v>474</v>
      </c>
      <c r="P5" s="4" t="s">
        <v>475</v>
      </c>
      <c r="R5" s="4" t="s">
        <v>476</v>
      </c>
      <c r="S5" s="4" t="s">
        <v>477</v>
      </c>
      <c r="T5" s="4" t="s">
        <v>478</v>
      </c>
      <c r="U5" s="4" t="s">
        <v>479</v>
      </c>
      <c r="V5" s="4" t="s">
        <v>480</v>
      </c>
      <c r="W5" s="4" t="s">
        <v>481</v>
      </c>
      <c r="Y5" s="4" t="s">
        <v>482</v>
      </c>
      <c r="Z5" s="4" t="s">
        <v>483</v>
      </c>
      <c r="AA5" s="4" t="s">
        <v>484</v>
      </c>
      <c r="AB5" s="4" t="s">
        <v>207</v>
      </c>
      <c r="AC5" s="4" t="s">
        <v>49</v>
      </c>
      <c r="AD5" s="4" t="s">
        <v>48</v>
      </c>
      <c r="AE5" s="4" t="s">
        <v>485</v>
      </c>
      <c r="AG5" s="4" t="s">
        <v>573</v>
      </c>
      <c r="AH5" s="4" t="s">
        <v>486</v>
      </c>
      <c r="AI5" s="4" t="s">
        <v>538</v>
      </c>
      <c r="AJ5" s="4" t="s">
        <v>539</v>
      </c>
      <c r="AK5" s="4" t="s">
        <v>479</v>
      </c>
      <c r="AL5" s="4" t="s">
        <v>487</v>
      </c>
      <c r="AM5" s="4" t="s">
        <v>488</v>
      </c>
      <c r="AN5" s="4" t="s">
        <v>489</v>
      </c>
      <c r="AO5" s="4" t="s">
        <v>490</v>
      </c>
      <c r="AP5" s="4" t="s">
        <v>491</v>
      </c>
      <c r="AQ5" s="4" t="s">
        <v>492</v>
      </c>
      <c r="AR5" s="4" t="s">
        <v>493</v>
      </c>
      <c r="AS5" s="4" t="s">
        <v>494</v>
      </c>
      <c r="AT5" s="4" t="s">
        <v>495</v>
      </c>
      <c r="AU5" s="4" t="s">
        <v>496</v>
      </c>
      <c r="AV5" s="4" t="s">
        <v>497</v>
      </c>
      <c r="AW5" s="4" t="s">
        <v>498</v>
      </c>
      <c r="AX5" s="4" t="s">
        <v>499</v>
      </c>
      <c r="AY5" s="4" t="s">
        <v>500</v>
      </c>
      <c r="AZ5" s="4" t="s">
        <v>501</v>
      </c>
      <c r="BA5" s="4" t="s">
        <v>502</v>
      </c>
      <c r="BB5" s="4" t="s">
        <v>503</v>
      </c>
      <c r="BC5" s="4" t="s">
        <v>504</v>
      </c>
      <c r="BD5" s="4" t="s">
        <v>505</v>
      </c>
      <c r="BF5" s="4" t="s">
        <v>506</v>
      </c>
      <c r="BG5" s="4" t="s">
        <v>507</v>
      </c>
      <c r="BH5" s="4" t="s">
        <v>508</v>
      </c>
      <c r="BI5" s="4" t="s">
        <v>509</v>
      </c>
      <c r="BJ5" s="4" t="s">
        <v>510</v>
      </c>
      <c r="BK5" s="4" t="s">
        <v>296</v>
      </c>
      <c r="BM5" s="4" t="s">
        <v>511</v>
      </c>
      <c r="BN5" s="4" t="s">
        <v>512</v>
      </c>
      <c r="BO5" s="4" t="s">
        <v>133</v>
      </c>
      <c r="BP5" s="4" t="s">
        <v>135</v>
      </c>
      <c r="BQ5" s="4" t="s">
        <v>513</v>
      </c>
      <c r="BR5" s="4" t="s">
        <v>514</v>
      </c>
      <c r="BS5" s="4" t="s">
        <v>515</v>
      </c>
      <c r="BT5" s="4" t="s">
        <v>516</v>
      </c>
      <c r="BU5" s="4" t="s">
        <v>517</v>
      </c>
      <c r="BV5" s="4" t="s">
        <v>515</v>
      </c>
      <c r="BW5" s="4" t="s">
        <v>175</v>
      </c>
      <c r="BX5" s="4" t="s">
        <v>285</v>
      </c>
      <c r="BY5" s="4" t="s">
        <v>518</v>
      </c>
      <c r="BZ5" s="4" t="s">
        <v>271</v>
      </c>
      <c r="CA5" s="4" t="s">
        <v>167</v>
      </c>
    </row>
    <row r="6" spans="1:79" s="381" customFormat="1" x14ac:dyDescent="0.2">
      <c r="A6" s="381" t="s">
        <v>360</v>
      </c>
      <c r="B6" s="381" t="s">
        <v>361</v>
      </c>
      <c r="C6" s="381" t="s">
        <v>362</v>
      </c>
      <c r="D6" s="381" t="s">
        <v>363</v>
      </c>
      <c r="E6" s="381" t="s">
        <v>364</v>
      </c>
      <c r="F6" s="381" t="s">
        <v>365</v>
      </c>
      <c r="G6" s="381" t="s">
        <v>366</v>
      </c>
      <c r="H6" s="381" t="s">
        <v>367</v>
      </c>
      <c r="I6" s="381" t="s">
        <v>368</v>
      </c>
      <c r="J6" s="381" t="s">
        <v>369</v>
      </c>
      <c r="K6" s="381" t="s">
        <v>370</v>
      </c>
      <c r="L6" s="381" t="s">
        <v>371</v>
      </c>
      <c r="M6" s="381" t="s">
        <v>372</v>
      </c>
      <c r="N6" s="381" t="s">
        <v>373</v>
      </c>
      <c r="O6" s="381" t="s">
        <v>374</v>
      </c>
      <c r="P6" s="381" t="s">
        <v>375</v>
      </c>
      <c r="R6" s="381" t="s">
        <v>376</v>
      </c>
      <c r="S6" s="381" t="s">
        <v>377</v>
      </c>
      <c r="T6" s="381" t="s">
        <v>345</v>
      </c>
      <c r="U6" s="381" t="s">
        <v>378</v>
      </c>
      <c r="V6" s="381" t="s">
        <v>379</v>
      </c>
      <c r="W6" s="381" t="s">
        <v>380</v>
      </c>
      <c r="Y6" s="381" t="s">
        <v>381</v>
      </c>
      <c r="Z6" s="381" t="s">
        <v>382</v>
      </c>
      <c r="AA6" s="381" t="s">
        <v>383</v>
      </c>
      <c r="AB6" s="381" t="s">
        <v>384</v>
      </c>
      <c r="AC6" s="381" t="s">
        <v>385</v>
      </c>
      <c r="AD6" s="381" t="s">
        <v>386</v>
      </c>
      <c r="AE6" s="381" t="s">
        <v>387</v>
      </c>
      <c r="AG6" s="381" t="s">
        <v>574</v>
      </c>
      <c r="AH6" s="381" t="s">
        <v>388</v>
      </c>
      <c r="AI6" s="4" t="s">
        <v>542</v>
      </c>
      <c r="AJ6" s="4" t="s">
        <v>543</v>
      </c>
      <c r="AK6" s="381" t="s">
        <v>389</v>
      </c>
      <c r="AL6" s="381" t="s">
        <v>390</v>
      </c>
      <c r="AM6" s="381" t="s">
        <v>391</v>
      </c>
      <c r="AN6" s="381" t="s">
        <v>392</v>
      </c>
      <c r="AO6" s="381" t="s">
        <v>393</v>
      </c>
      <c r="AP6" s="381" t="s">
        <v>394</v>
      </c>
      <c r="AQ6" s="381" t="s">
        <v>395</v>
      </c>
      <c r="AR6" s="381" t="s">
        <v>383</v>
      </c>
      <c r="AS6" s="381" t="s">
        <v>396</v>
      </c>
      <c r="AT6" s="381" t="s">
        <v>397</v>
      </c>
      <c r="AU6" s="381" t="s">
        <v>382</v>
      </c>
      <c r="AV6" s="381" t="s">
        <v>398</v>
      </c>
      <c r="AW6" s="381" t="s">
        <v>399</v>
      </c>
      <c r="AX6" s="381" t="s">
        <v>400</v>
      </c>
      <c r="AY6" s="381" t="s">
        <v>401</v>
      </c>
      <c r="AZ6" s="381" t="s">
        <v>402</v>
      </c>
      <c r="BA6" s="381" t="s">
        <v>403</v>
      </c>
      <c r="BB6" s="381" t="s">
        <v>404</v>
      </c>
      <c r="BC6" s="381" t="s">
        <v>405</v>
      </c>
      <c r="BD6" s="381" t="s">
        <v>406</v>
      </c>
      <c r="BF6" s="381" t="s">
        <v>407</v>
      </c>
      <c r="BG6" s="381" t="s">
        <v>408</v>
      </c>
      <c r="BH6" s="381" t="s">
        <v>409</v>
      </c>
      <c r="BI6" s="381" t="s">
        <v>410</v>
      </c>
      <c r="BJ6" s="381" t="s">
        <v>411</v>
      </c>
      <c r="BK6" s="381" t="s">
        <v>359</v>
      </c>
      <c r="BM6" s="381" t="s">
        <v>412</v>
      </c>
      <c r="BN6" s="381" t="s">
        <v>413</v>
      </c>
      <c r="BO6" s="381" t="s">
        <v>414</v>
      </c>
      <c r="BP6" s="381" t="s">
        <v>415</v>
      </c>
      <c r="BQ6" s="381" t="s">
        <v>416</v>
      </c>
      <c r="BR6" s="381" t="s">
        <v>417</v>
      </c>
      <c r="BS6" s="381" t="s">
        <v>418</v>
      </c>
      <c r="BT6" s="381" t="s">
        <v>419</v>
      </c>
      <c r="BU6" s="381" t="s">
        <v>420</v>
      </c>
      <c r="BV6" s="381" t="s">
        <v>418</v>
      </c>
      <c r="BW6" s="381" t="s">
        <v>438</v>
      </c>
      <c r="BX6" s="381" t="s">
        <v>439</v>
      </c>
      <c r="BY6" s="381" t="s">
        <v>440</v>
      </c>
      <c r="BZ6" s="381" t="s">
        <v>441</v>
      </c>
      <c r="CA6" s="381" t="s">
        <v>442</v>
      </c>
    </row>
    <row r="7" spans="1:79" x14ac:dyDescent="0.2">
      <c r="A7" s="4" t="s">
        <v>575</v>
      </c>
      <c r="B7" s="4" t="s">
        <v>593</v>
      </c>
      <c r="C7" s="4" t="s">
        <v>594</v>
      </c>
      <c r="D7" s="4" t="s">
        <v>595</v>
      </c>
      <c r="E7" s="4" t="s">
        <v>464</v>
      </c>
      <c r="F7" s="4" t="s">
        <v>596</v>
      </c>
      <c r="G7" s="4" t="s">
        <v>597</v>
      </c>
      <c r="H7" s="4" t="s">
        <v>598</v>
      </c>
      <c r="I7" s="4" t="s">
        <v>599</v>
      </c>
      <c r="J7" s="4" t="s">
        <v>600</v>
      </c>
      <c r="K7" s="4" t="s">
        <v>601</v>
      </c>
      <c r="L7" s="4" t="s">
        <v>602</v>
      </c>
      <c r="M7" s="4" t="s">
        <v>603</v>
      </c>
      <c r="N7" s="4" t="s">
        <v>604</v>
      </c>
      <c r="O7" s="4" t="s">
        <v>605</v>
      </c>
      <c r="P7" s="4" t="s">
        <v>606</v>
      </c>
      <c r="R7" s="4" t="s">
        <v>607</v>
      </c>
      <c r="S7" s="4" t="s">
        <v>608</v>
      </c>
      <c r="T7" s="4" t="s">
        <v>609</v>
      </c>
      <c r="U7" s="4" t="s">
        <v>610</v>
      </c>
      <c r="V7" s="4" t="s">
        <v>611</v>
      </c>
      <c r="W7" s="4" t="s">
        <v>612</v>
      </c>
      <c r="Y7" s="4" t="s">
        <v>613</v>
      </c>
      <c r="Z7" s="4" t="s">
        <v>614</v>
      </c>
      <c r="AA7" s="4" t="s">
        <v>615</v>
      </c>
      <c r="AB7" s="4" t="s">
        <v>616</v>
      </c>
      <c r="AC7" s="4" t="s">
        <v>617</v>
      </c>
      <c r="AD7" s="4" t="s">
        <v>618</v>
      </c>
      <c r="AE7" s="4" t="s">
        <v>619</v>
      </c>
      <c r="AF7" s="4" t="s">
        <v>609</v>
      </c>
      <c r="AG7" s="4" t="s">
        <v>572</v>
      </c>
      <c r="AH7" s="4" t="s">
        <v>620</v>
      </c>
      <c r="AI7" s="4" t="s">
        <v>538</v>
      </c>
      <c r="AJ7" s="4" t="s">
        <v>621</v>
      </c>
      <c r="AK7" s="4" t="s">
        <v>610</v>
      </c>
      <c r="AL7" s="4" t="s">
        <v>622</v>
      </c>
      <c r="AM7" s="440" t="s">
        <v>623</v>
      </c>
      <c r="AN7" s="440" t="s">
        <v>624</v>
      </c>
      <c r="AO7" s="441" t="s">
        <v>625</v>
      </c>
      <c r="AP7" s="4" t="s">
        <v>585</v>
      </c>
      <c r="AQ7" s="4" t="s">
        <v>626</v>
      </c>
      <c r="AR7" s="4" t="s">
        <v>615</v>
      </c>
      <c r="AS7" s="4" t="s">
        <v>627</v>
      </c>
      <c r="AT7" s="4" t="s">
        <v>628</v>
      </c>
      <c r="AU7" s="4" t="s">
        <v>629</v>
      </c>
      <c r="AV7" s="4" t="s">
        <v>630</v>
      </c>
      <c r="AW7" s="4" t="s">
        <v>631</v>
      </c>
      <c r="AX7" s="4" t="s">
        <v>632</v>
      </c>
      <c r="AY7" s="4" t="s">
        <v>633</v>
      </c>
      <c r="AZ7" s="4" t="s">
        <v>634</v>
      </c>
      <c r="BA7" s="4" t="s">
        <v>635</v>
      </c>
      <c r="BB7" s="4" t="s">
        <v>636</v>
      </c>
      <c r="BC7" s="442" t="s">
        <v>637</v>
      </c>
      <c r="BD7" s="4" t="s">
        <v>638</v>
      </c>
      <c r="BF7" s="4" t="s">
        <v>639</v>
      </c>
      <c r="BG7" s="4" t="s">
        <v>640</v>
      </c>
      <c r="BH7" s="4" t="s">
        <v>641</v>
      </c>
      <c r="BI7" s="4" t="s">
        <v>642</v>
      </c>
      <c r="BJ7" s="4" t="s">
        <v>643</v>
      </c>
      <c r="BK7" s="4" t="s">
        <v>644</v>
      </c>
      <c r="BM7" s="4" t="s">
        <v>645</v>
      </c>
      <c r="BN7" s="4" t="s">
        <v>646</v>
      </c>
      <c r="BO7" s="4" t="s">
        <v>647</v>
      </c>
      <c r="BP7" s="4" t="s">
        <v>648</v>
      </c>
      <c r="BQ7" s="4" t="s">
        <v>649</v>
      </c>
      <c r="BR7" s="4" t="s">
        <v>650</v>
      </c>
      <c r="BS7" s="4" t="s">
        <v>651</v>
      </c>
      <c r="BT7" s="4" t="s">
        <v>652</v>
      </c>
      <c r="BU7" s="4" t="s">
        <v>653</v>
      </c>
      <c r="BV7" s="4" t="s">
        <v>651</v>
      </c>
      <c r="BW7" s="4" t="s">
        <v>175</v>
      </c>
      <c r="BX7" s="4" t="s">
        <v>285</v>
      </c>
      <c r="BY7" s="4" t="s">
        <v>654</v>
      </c>
      <c r="BZ7" s="4" t="s">
        <v>271</v>
      </c>
      <c r="CA7" s="4" t="s">
        <v>167</v>
      </c>
    </row>
    <row r="11" spans="1:79" x14ac:dyDescent="0.2">
      <c r="BM11" s="65"/>
    </row>
    <row r="12" spans="1:79" x14ac:dyDescent="0.2">
      <c r="BM12" s="65"/>
    </row>
    <row r="13" spans="1:79" x14ac:dyDescent="0.2">
      <c r="BM13" s="65"/>
    </row>
    <row r="14" spans="1:79" x14ac:dyDescent="0.2">
      <c r="BM14" s="65"/>
    </row>
    <row r="15" spans="1:79" x14ac:dyDescent="0.2">
      <c r="BM15" s="65"/>
    </row>
    <row r="16" spans="1:79" x14ac:dyDescent="0.2">
      <c r="BM16" s="65"/>
    </row>
    <row r="21" spans="1:18" x14ac:dyDescent="0.2">
      <c r="A21" s="4" t="s">
        <v>182</v>
      </c>
      <c r="B21" s="4" t="s">
        <v>222</v>
      </c>
      <c r="C21" s="4" t="s">
        <v>191</v>
      </c>
      <c r="D21" s="4" t="s">
        <v>292</v>
      </c>
      <c r="E21" s="66" t="s">
        <v>223</v>
      </c>
      <c r="F21" s="4" t="s">
        <v>288</v>
      </c>
      <c r="G21" s="4" t="s">
        <v>189</v>
      </c>
      <c r="H21" s="4" t="s">
        <v>202</v>
      </c>
      <c r="I21" s="4" t="s">
        <v>204</v>
      </c>
      <c r="J21" s="4" t="s">
        <v>192</v>
      </c>
      <c r="K21" s="4" t="s">
        <v>224</v>
      </c>
      <c r="L21" s="4" t="s">
        <v>194</v>
      </c>
      <c r="M21" s="4" t="s">
        <v>195</v>
      </c>
      <c r="N21" s="4" t="s">
        <v>196</v>
      </c>
      <c r="O21" s="4" t="s">
        <v>197</v>
      </c>
      <c r="P21" s="4" t="s">
        <v>198</v>
      </c>
      <c r="Q21" s="4" t="s">
        <v>225</v>
      </c>
      <c r="R21" s="4" t="s">
        <v>205</v>
      </c>
    </row>
    <row r="22" spans="1:18" x14ac:dyDescent="0.2">
      <c r="A22" s="4" t="s">
        <v>181</v>
      </c>
      <c r="B22" s="4" t="s">
        <v>200</v>
      </c>
      <c r="C22" s="4" t="s">
        <v>190</v>
      </c>
      <c r="D22" s="4" t="s">
        <v>291</v>
      </c>
      <c r="E22" s="4" t="s">
        <v>172</v>
      </c>
      <c r="F22" s="4" t="s">
        <v>289</v>
      </c>
      <c r="G22" s="4" t="s">
        <v>126</v>
      </c>
      <c r="H22" s="4" t="s">
        <v>203</v>
      </c>
      <c r="I22" s="4" t="s">
        <v>127</v>
      </c>
      <c r="J22" s="4" t="s">
        <v>128</v>
      </c>
      <c r="K22" s="4" t="s">
        <v>193</v>
      </c>
      <c r="L22" s="4" t="s">
        <v>132</v>
      </c>
      <c r="M22" s="4" t="s">
        <v>131</v>
      </c>
      <c r="N22" s="4" t="s">
        <v>173</v>
      </c>
      <c r="O22" s="4" t="s">
        <v>130</v>
      </c>
      <c r="P22" s="4" t="s">
        <v>129</v>
      </c>
      <c r="Q22" s="4" t="s">
        <v>174</v>
      </c>
      <c r="R22" s="4" t="s">
        <v>125</v>
      </c>
    </row>
    <row r="23" spans="1:18" x14ac:dyDescent="0.2">
      <c r="A23" s="4" t="s">
        <v>199</v>
      </c>
      <c r="B23" s="4" t="s">
        <v>560</v>
      </c>
      <c r="C23" s="4" t="s">
        <v>561</v>
      </c>
      <c r="D23" s="4" t="s">
        <v>562</v>
      </c>
      <c r="E23" s="4" t="s">
        <v>236</v>
      </c>
      <c r="F23" s="4" t="s">
        <v>290</v>
      </c>
      <c r="G23" s="4" t="s">
        <v>201</v>
      </c>
      <c r="H23" s="4" t="s">
        <v>237</v>
      </c>
      <c r="I23" s="4" t="s">
        <v>563</v>
      </c>
      <c r="J23" s="4" t="s">
        <v>228</v>
      </c>
      <c r="K23" s="4" t="s">
        <v>229</v>
      </c>
      <c r="L23" s="4" t="s">
        <v>230</v>
      </c>
      <c r="M23" s="4" t="s">
        <v>231</v>
      </c>
      <c r="N23" s="4" t="s">
        <v>232</v>
      </c>
      <c r="O23" s="4" t="s">
        <v>233</v>
      </c>
      <c r="P23" s="4" t="s">
        <v>234</v>
      </c>
      <c r="Q23" s="4" t="s">
        <v>235</v>
      </c>
      <c r="R23" s="4" t="s">
        <v>206</v>
      </c>
    </row>
    <row r="24" spans="1:18" x14ac:dyDescent="0.2">
      <c r="A24" s="4" t="s">
        <v>445</v>
      </c>
      <c r="B24" s="4" t="s">
        <v>519</v>
      </c>
      <c r="C24" s="4" t="s">
        <v>520</v>
      </c>
      <c r="D24" s="4" t="s">
        <v>521</v>
      </c>
      <c r="E24" s="4" t="s">
        <v>522</v>
      </c>
      <c r="F24" s="4" t="s">
        <v>523</v>
      </c>
      <c r="G24" s="4" t="s">
        <v>524</v>
      </c>
      <c r="H24" s="4" t="s">
        <v>525</v>
      </c>
      <c r="I24" s="4" t="s">
        <v>526</v>
      </c>
      <c r="J24" s="4" t="s">
        <v>527</v>
      </c>
      <c r="K24" s="4" t="s">
        <v>528</v>
      </c>
      <c r="L24" s="4" t="s">
        <v>529</v>
      </c>
      <c r="M24" s="4" t="s">
        <v>530</v>
      </c>
      <c r="N24" s="4" t="s">
        <v>531</v>
      </c>
      <c r="O24" s="4" t="s">
        <v>532</v>
      </c>
      <c r="P24" s="4" t="s">
        <v>533</v>
      </c>
      <c r="Q24" s="4" t="s">
        <v>534</v>
      </c>
      <c r="R24" s="4" t="s">
        <v>535</v>
      </c>
    </row>
    <row r="25" spans="1:18" s="381" customFormat="1" x14ac:dyDescent="0.2">
      <c r="A25" s="381" t="s">
        <v>360</v>
      </c>
      <c r="B25" s="381" t="s">
        <v>421</v>
      </c>
      <c r="C25" s="381" t="s">
        <v>422</v>
      </c>
      <c r="D25" s="381" t="s">
        <v>423</v>
      </c>
      <c r="E25" s="381" t="s">
        <v>424</v>
      </c>
      <c r="F25" s="381" t="s">
        <v>425</v>
      </c>
      <c r="G25" s="381" t="s">
        <v>426</v>
      </c>
      <c r="H25" s="381" t="s">
        <v>427</v>
      </c>
      <c r="I25" s="381" t="s">
        <v>428</v>
      </c>
      <c r="J25" s="381" t="s">
        <v>429</v>
      </c>
      <c r="K25" s="381" t="s">
        <v>430</v>
      </c>
      <c r="L25" s="381" t="s">
        <v>431</v>
      </c>
      <c r="M25" s="381" t="s">
        <v>432</v>
      </c>
      <c r="N25" s="381" t="s">
        <v>433</v>
      </c>
      <c r="O25" s="381" t="s">
        <v>434</v>
      </c>
      <c r="P25" s="381" t="s">
        <v>435</v>
      </c>
      <c r="Q25" s="381" t="s">
        <v>436</v>
      </c>
      <c r="R25" s="381" t="s">
        <v>437</v>
      </c>
    </row>
    <row r="26" spans="1:18" ht="12" customHeight="1" x14ac:dyDescent="0.2">
      <c r="A26" s="4" t="s">
        <v>575</v>
      </c>
      <c r="B26" s="4" t="s">
        <v>655</v>
      </c>
      <c r="C26" s="4" t="s">
        <v>656</v>
      </c>
      <c r="D26" s="4" t="s">
        <v>657</v>
      </c>
      <c r="E26" s="4" t="s">
        <v>658</v>
      </c>
      <c r="F26" s="4" t="s">
        <v>659</v>
      </c>
      <c r="G26" s="4" t="s">
        <v>660</v>
      </c>
      <c r="H26" s="4" t="s">
        <v>661</v>
      </c>
      <c r="I26" s="4" t="s">
        <v>662</v>
      </c>
      <c r="J26" s="4" t="s">
        <v>663</v>
      </c>
      <c r="K26" s="4" t="s">
        <v>664</v>
      </c>
      <c r="L26" s="4" t="s">
        <v>665</v>
      </c>
      <c r="M26" s="4" t="s">
        <v>666</v>
      </c>
      <c r="N26" s="4" t="s">
        <v>667</v>
      </c>
      <c r="O26" s="4" t="s">
        <v>668</v>
      </c>
      <c r="P26" s="4" t="s">
        <v>669</v>
      </c>
      <c r="Q26" s="4" t="s">
        <v>670</v>
      </c>
      <c r="R26" s="4" t="s">
        <v>671</v>
      </c>
    </row>
    <row r="27" spans="1:18" ht="12" customHeight="1" x14ac:dyDescent="0.2"/>
    <row r="28" spans="1:18" x14ac:dyDescent="0.2">
      <c r="A28" s="4" t="s">
        <v>444</v>
      </c>
    </row>
    <row r="29" spans="1:18" x14ac:dyDescent="0.2">
      <c r="A29" s="4" t="s">
        <v>443</v>
      </c>
    </row>
  </sheetData>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 sqref="I1:I1048576"/>
    </sheetView>
  </sheetViews>
  <sheetFormatPr baseColWidth="10" defaultRowHeight="15" x14ac:dyDescent="0.25"/>
  <cols>
    <col min="1" max="1" width="12.5703125" bestFit="1" customWidth="1"/>
    <col min="2" max="2" width="26.7109375" customWidth="1"/>
    <col min="3" max="3" width="10.5703125" customWidth="1"/>
    <col min="4" max="4" width="54.42578125" bestFit="1" customWidth="1"/>
    <col min="5" max="5" width="59.28515625" bestFit="1" customWidth="1"/>
    <col min="6" max="6" width="54.42578125" bestFit="1" customWidth="1"/>
    <col min="7" max="7" width="47.28515625" customWidth="1"/>
    <col min="8" max="8" width="47.28515625" bestFit="1" customWidth="1"/>
    <col min="9" max="9" width="23.7109375" style="439" bestFit="1" customWidth="1"/>
  </cols>
  <sheetData>
    <row r="1" spans="1:9" x14ac:dyDescent="0.25">
      <c r="A1" s="24" t="s">
        <v>262</v>
      </c>
      <c r="B1" s="24"/>
      <c r="C1" s="24"/>
      <c r="D1" s="24" t="s">
        <v>182</v>
      </c>
      <c r="E1" s="24" t="s">
        <v>181</v>
      </c>
      <c r="F1" s="24" t="s">
        <v>199</v>
      </c>
      <c r="G1" s="399" t="s">
        <v>445</v>
      </c>
      <c r="H1" s="4" t="s">
        <v>360</v>
      </c>
      <c r="I1" s="439" t="s">
        <v>575</v>
      </c>
    </row>
    <row r="2" spans="1:9" ht="25.5" x14ac:dyDescent="0.25">
      <c r="A2" s="456" t="s">
        <v>261</v>
      </c>
      <c r="B2" s="375" t="str">
        <f>HLOOKUP('How to use'!$C$10,'Titre graphique'!$D$1:$U$21,C2,FALSE)</f>
        <v>Courbe de croissance en élevage</v>
      </c>
      <c r="C2" s="375">
        <v>2</v>
      </c>
      <c r="D2" s="109" t="s">
        <v>328</v>
      </c>
      <c r="E2" t="s">
        <v>302</v>
      </c>
      <c r="F2" t="s">
        <v>342</v>
      </c>
      <c r="G2" s="399" t="s">
        <v>446</v>
      </c>
      <c r="H2" t="s">
        <v>343</v>
      </c>
      <c r="I2" s="439" t="s">
        <v>576</v>
      </c>
    </row>
    <row r="3" spans="1:9" x14ac:dyDescent="0.25">
      <c r="A3" s="457"/>
      <c r="B3" s="375" t="str">
        <f>HLOOKUP('How to use'!$C$10,'Titre graphique'!$D$1:$U$21,C3,FALSE)</f>
        <v>Age (semaine)</v>
      </c>
      <c r="C3" s="375">
        <v>3</v>
      </c>
      <c r="D3" t="s">
        <v>329</v>
      </c>
      <c r="E3" t="s">
        <v>303</v>
      </c>
      <c r="F3" t="s">
        <v>319</v>
      </c>
      <c r="G3" s="399" t="s">
        <v>447</v>
      </c>
      <c r="H3" t="s">
        <v>344</v>
      </c>
      <c r="I3" s="439" t="s">
        <v>577</v>
      </c>
    </row>
    <row r="4" spans="1:9" x14ac:dyDescent="0.25">
      <c r="A4" s="457"/>
      <c r="B4" s="375" t="str">
        <f>HLOOKUP('How to use'!$C$10,'Titre graphique'!$D$1:$U$21,C4,FALSE)</f>
        <v>Poids corporel (g)</v>
      </c>
      <c r="C4" s="375">
        <v>4</v>
      </c>
      <c r="D4" t="s">
        <v>89</v>
      </c>
      <c r="E4" t="s">
        <v>304</v>
      </c>
      <c r="F4" t="s">
        <v>320</v>
      </c>
      <c r="G4" s="399" t="s">
        <v>448</v>
      </c>
      <c r="H4" t="s">
        <v>345</v>
      </c>
      <c r="I4" s="439" t="s">
        <v>578</v>
      </c>
    </row>
    <row r="5" spans="1:9" ht="12.75" customHeight="1" x14ac:dyDescent="0.25">
      <c r="A5" s="456" t="s">
        <v>263</v>
      </c>
      <c r="B5" s="375" t="str">
        <f>HLOOKUP('How to use'!$C$10,'Titre graphique'!$D$1:$U$21,C5,FALSE)</f>
        <v>Normes de production</v>
      </c>
      <c r="C5" s="375">
        <v>5</v>
      </c>
      <c r="D5" t="s">
        <v>330</v>
      </c>
      <c r="E5" t="s">
        <v>305</v>
      </c>
      <c r="F5" t="s">
        <v>321</v>
      </c>
      <c r="G5" s="399" t="s">
        <v>449</v>
      </c>
      <c r="H5" t="s">
        <v>346</v>
      </c>
      <c r="I5" s="439" t="s">
        <v>579</v>
      </c>
    </row>
    <row r="6" spans="1:9" x14ac:dyDescent="0.25">
      <c r="A6" s="456"/>
      <c r="B6" s="375" t="str">
        <f>HLOOKUP('How to use'!$C$10,'Titre graphique'!$D$1:$U$21,C6,FALSE)</f>
        <v>Age (semaine)</v>
      </c>
      <c r="C6" s="375">
        <v>6</v>
      </c>
      <c r="D6" t="s">
        <v>329</v>
      </c>
      <c r="E6" t="s">
        <v>303</v>
      </c>
      <c r="F6" t="s">
        <v>319</v>
      </c>
      <c r="G6" s="399" t="s">
        <v>447</v>
      </c>
      <c r="H6" t="s">
        <v>344</v>
      </c>
      <c r="I6" s="439" t="s">
        <v>577</v>
      </c>
    </row>
    <row r="7" spans="1:9" ht="25.5" x14ac:dyDescent="0.25">
      <c r="A7" s="456"/>
      <c r="B7" s="375" t="str">
        <f>HLOOKUP('How to use'!$C$10,'Titre graphique'!$D$1:$U$21,C7,FALSE)</f>
        <v>Poids corporel (g) / Taux de ponte et viabilité (%)</v>
      </c>
      <c r="C7" s="375">
        <v>7</v>
      </c>
      <c r="D7" t="s">
        <v>331</v>
      </c>
      <c r="E7" t="s">
        <v>306</v>
      </c>
      <c r="F7" t="s">
        <v>322</v>
      </c>
      <c r="G7" s="399" t="s">
        <v>450</v>
      </c>
      <c r="H7" t="s">
        <v>347</v>
      </c>
      <c r="I7" s="439" t="s">
        <v>580</v>
      </c>
    </row>
    <row r="8" spans="1:9" x14ac:dyDescent="0.25">
      <c r="A8" s="456"/>
      <c r="B8" s="375" t="str">
        <f>HLOOKUP('How to use'!$C$10,'Titre graphique'!$D$1:$U$21,C8,FALSE)</f>
        <v>Poids d'œuf (g)</v>
      </c>
      <c r="C8" s="375">
        <v>8</v>
      </c>
      <c r="D8" t="s">
        <v>332</v>
      </c>
      <c r="E8" t="s">
        <v>307</v>
      </c>
      <c r="F8" t="s">
        <v>323</v>
      </c>
      <c r="G8" s="399" t="s">
        <v>451</v>
      </c>
      <c r="H8" t="s">
        <v>348</v>
      </c>
      <c r="I8" s="439" t="s">
        <v>581</v>
      </c>
    </row>
    <row r="9" spans="1:9" ht="12.75" customHeight="1" x14ac:dyDescent="0.25">
      <c r="A9" s="456" t="s">
        <v>264</v>
      </c>
      <c r="B9" s="375" t="str">
        <f>HLOOKUP('How to use'!$C$10,'Titre graphique'!$D$1:$U$21,C9,FALSE)</f>
        <v>Evolution des œufs déclassés en ferme et centre de conditionnement</v>
      </c>
      <c r="C9" s="375">
        <v>9</v>
      </c>
      <c r="D9" t="s">
        <v>333</v>
      </c>
      <c r="E9" t="s">
        <v>308</v>
      </c>
      <c r="F9" t="s">
        <v>564</v>
      </c>
      <c r="G9" s="399" t="s">
        <v>452</v>
      </c>
      <c r="H9" s="110" t="s">
        <v>349</v>
      </c>
      <c r="I9" s="439" t="s">
        <v>582</v>
      </c>
    </row>
    <row r="10" spans="1:9" x14ac:dyDescent="0.25">
      <c r="A10" s="456"/>
      <c r="B10" s="375" t="str">
        <f>HLOOKUP('How to use'!$C$10,'Titre graphique'!$D$1:$U$21,C10,FALSE)</f>
        <v>Age (semaine)</v>
      </c>
      <c r="C10" s="375">
        <v>10</v>
      </c>
      <c r="D10" t="s">
        <v>329</v>
      </c>
      <c r="E10" t="s">
        <v>303</v>
      </c>
      <c r="F10" t="s">
        <v>319</v>
      </c>
      <c r="G10" s="399" t="s">
        <v>447</v>
      </c>
      <c r="H10" t="s">
        <v>344</v>
      </c>
      <c r="I10" s="439" t="s">
        <v>577</v>
      </c>
    </row>
    <row r="11" spans="1:9" x14ac:dyDescent="0.25">
      <c r="A11" s="456"/>
      <c r="B11" s="375" t="str">
        <f>HLOOKUP('How to use'!$C$10,'Titre graphique'!$D$1:$U$21,C11,FALSE)</f>
        <v>Déclassés (%)</v>
      </c>
      <c r="C11" s="375">
        <v>11</v>
      </c>
      <c r="D11" t="s">
        <v>334</v>
      </c>
      <c r="E11" t="s">
        <v>309</v>
      </c>
      <c r="F11" t="s">
        <v>565</v>
      </c>
      <c r="G11" s="399" t="s">
        <v>453</v>
      </c>
      <c r="H11" t="s">
        <v>350</v>
      </c>
      <c r="I11" s="439" t="s">
        <v>583</v>
      </c>
    </row>
    <row r="12" spans="1:9" x14ac:dyDescent="0.25">
      <c r="A12" s="456"/>
      <c r="B12" s="375" t="str">
        <f>HLOOKUP('How to use'!$C$10,'Titre graphique'!$D$1:$U$21,C12,FALSE)</f>
        <v>Déclassés élevage (%)</v>
      </c>
      <c r="C12" s="375">
        <v>12</v>
      </c>
      <c r="D12" t="s">
        <v>335</v>
      </c>
      <c r="E12" t="s">
        <v>310</v>
      </c>
      <c r="F12" t="s">
        <v>566</v>
      </c>
      <c r="G12" s="399" t="s">
        <v>454</v>
      </c>
      <c r="H12" t="s">
        <v>351</v>
      </c>
      <c r="I12" s="439" t="s">
        <v>584</v>
      </c>
    </row>
    <row r="13" spans="1:9" ht="25.5" x14ac:dyDescent="0.25">
      <c r="A13" s="456"/>
      <c r="B13" s="375" t="str">
        <f>HLOOKUP('How to use'!$C$10,'Titre graphique'!$D$1:$U$21,C13,FALSE)</f>
        <v>Déclassés centre de conditionnement (%)</v>
      </c>
      <c r="C13" s="375">
        <v>13</v>
      </c>
      <c r="D13" t="s">
        <v>336</v>
      </c>
      <c r="E13" t="s">
        <v>311</v>
      </c>
      <c r="F13" t="s">
        <v>567</v>
      </c>
      <c r="G13" s="399" t="s">
        <v>455</v>
      </c>
      <c r="H13" t="s">
        <v>352</v>
      </c>
      <c r="I13" s="439" t="s">
        <v>585</v>
      </c>
    </row>
    <row r="14" spans="1:9" x14ac:dyDescent="0.25">
      <c r="A14" s="456"/>
      <c r="B14" s="375" t="str">
        <f>HLOOKUP('How to use'!$C$10,'Titre graphique'!$D$1:$U$21,C14,FALSE)</f>
        <v>Total déclassés (%)</v>
      </c>
      <c r="C14" s="375">
        <v>14</v>
      </c>
      <c r="D14" t="s">
        <v>337</v>
      </c>
      <c r="E14" t="s">
        <v>312</v>
      </c>
      <c r="F14" t="s">
        <v>568</v>
      </c>
      <c r="G14" s="399" t="s">
        <v>456</v>
      </c>
      <c r="H14" t="s">
        <v>353</v>
      </c>
      <c r="I14" s="439" t="s">
        <v>586</v>
      </c>
    </row>
    <row r="15" spans="1:9" ht="12.75" customHeight="1" x14ac:dyDescent="0.25">
      <c r="A15" s="456" t="s">
        <v>265</v>
      </c>
      <c r="B15" s="375" t="str">
        <f>HLOOKUP('How to use'!$C$10,'Titre graphique'!$D$1:$U$21,C15,FALSE)</f>
        <v>Masse d'œuf/jour et indice de consomation</v>
      </c>
      <c r="C15" s="375">
        <v>15</v>
      </c>
      <c r="D15" t="s">
        <v>338</v>
      </c>
      <c r="E15" t="s">
        <v>313</v>
      </c>
      <c r="F15" t="s">
        <v>569</v>
      </c>
      <c r="G15" s="399" t="s">
        <v>457</v>
      </c>
      <c r="H15" t="s">
        <v>354</v>
      </c>
      <c r="I15" s="439" t="s">
        <v>587</v>
      </c>
    </row>
    <row r="16" spans="1:9" x14ac:dyDescent="0.25">
      <c r="A16" s="456"/>
      <c r="B16" s="375" t="str">
        <f>HLOOKUP('How to use'!$C$10,'Titre graphique'!$D$1:$U$21,C16,FALSE)</f>
        <v>Age (semaine)</v>
      </c>
      <c r="C16" s="375">
        <v>16</v>
      </c>
      <c r="D16" t="s">
        <v>329</v>
      </c>
      <c r="E16" t="s">
        <v>303</v>
      </c>
      <c r="F16" t="s">
        <v>319</v>
      </c>
      <c r="G16" s="399" t="s">
        <v>447</v>
      </c>
      <c r="H16" t="s">
        <v>344</v>
      </c>
      <c r="I16" s="439" t="s">
        <v>577</v>
      </c>
    </row>
    <row r="17" spans="1:9" x14ac:dyDescent="0.25">
      <c r="A17" s="456"/>
      <c r="B17" s="375" t="str">
        <f>HLOOKUP('How to use'!$C$10,'Titre graphique'!$D$1:$U$21,C17,FALSE)</f>
        <v>Masse d'œuf/jour (g)</v>
      </c>
      <c r="C17" s="375">
        <v>17</v>
      </c>
      <c r="D17" s="111" t="s">
        <v>339</v>
      </c>
      <c r="E17" t="s">
        <v>314</v>
      </c>
      <c r="F17" t="s">
        <v>324</v>
      </c>
      <c r="G17" s="399" t="s">
        <v>458</v>
      </c>
      <c r="H17" t="s">
        <v>355</v>
      </c>
      <c r="I17" s="439" t="s">
        <v>588</v>
      </c>
    </row>
    <row r="18" spans="1:9" x14ac:dyDescent="0.25">
      <c r="A18" s="456"/>
      <c r="B18" s="375" t="str">
        <f>HLOOKUP('How to use'!$C$10,'Titre graphique'!$D$1:$U$21,C18,FALSE)</f>
        <v>IC (kg/kg)</v>
      </c>
      <c r="C18" s="375">
        <v>18</v>
      </c>
      <c r="D18" s="110" t="s">
        <v>340</v>
      </c>
      <c r="E18" t="s">
        <v>315</v>
      </c>
      <c r="F18" t="s">
        <v>325</v>
      </c>
      <c r="G18" s="399" t="s">
        <v>459</v>
      </c>
      <c r="H18" s="4" t="s">
        <v>356</v>
      </c>
      <c r="I18" s="439" t="s">
        <v>589</v>
      </c>
    </row>
    <row r="19" spans="1:9" x14ac:dyDescent="0.25">
      <c r="A19" s="456"/>
      <c r="B19" s="375" t="str">
        <f>HLOOKUP('How to use'!$C$10,'Titre graphique'!$D$1:$U$21,C19,FALSE)</f>
        <v>Standard masse d'œuf/jour</v>
      </c>
      <c r="C19" s="375">
        <v>19</v>
      </c>
      <c r="D19" s="110" t="s">
        <v>326</v>
      </c>
      <c r="E19" t="s">
        <v>316</v>
      </c>
      <c r="F19" t="s">
        <v>326</v>
      </c>
      <c r="G19" s="399" t="s">
        <v>460</v>
      </c>
      <c r="H19" t="s">
        <v>357</v>
      </c>
      <c r="I19" s="439" t="s">
        <v>590</v>
      </c>
    </row>
    <row r="20" spans="1:9" x14ac:dyDescent="0.25">
      <c r="A20" s="456"/>
      <c r="B20" s="375" t="str">
        <f>HLOOKUP('How to use'!$C$10,'Titre graphique'!$D$1:$U$21,C20,FALSE)</f>
        <v>Masse d'œuf/jour</v>
      </c>
      <c r="C20" s="375">
        <v>20</v>
      </c>
      <c r="D20" s="110" t="s">
        <v>341</v>
      </c>
      <c r="E20" t="s">
        <v>317</v>
      </c>
      <c r="F20" t="s">
        <v>570</v>
      </c>
      <c r="G20" s="399" t="s">
        <v>461</v>
      </c>
      <c r="H20" t="s">
        <v>358</v>
      </c>
      <c r="I20" s="439" t="s">
        <v>591</v>
      </c>
    </row>
    <row r="21" spans="1:9" x14ac:dyDescent="0.25">
      <c r="A21" s="456"/>
      <c r="B21" s="375" t="str">
        <f>HLOOKUP('How to use'!$C$10,'Titre graphique'!$D$1:$U$21,C21,FALSE)</f>
        <v>Indice de conso</v>
      </c>
      <c r="C21" s="375">
        <v>21</v>
      </c>
      <c r="D21" s="110" t="s">
        <v>300</v>
      </c>
      <c r="E21" t="s">
        <v>318</v>
      </c>
      <c r="F21" t="s">
        <v>327</v>
      </c>
      <c r="G21" s="399" t="s">
        <v>300</v>
      </c>
      <c r="H21" t="s">
        <v>359</v>
      </c>
      <c r="I21" s="439" t="s">
        <v>592</v>
      </c>
    </row>
  </sheetData>
  <mergeCells count="4">
    <mergeCell ref="A2:A4"/>
    <mergeCell ref="A5:A8"/>
    <mergeCell ref="A9:A14"/>
    <mergeCell ref="A15:A2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2060"/>
  </sheetPr>
  <dimension ref="A1:M142"/>
  <sheetViews>
    <sheetView showGridLines="0" zoomScale="90" zoomScaleNormal="90" zoomScaleSheetLayoutView="100" zoomScalePageLayoutView="80" workbookViewId="0">
      <pane xSplit="3" ySplit="16" topLeftCell="D32" activePane="bottomRight" state="frozen"/>
      <selection pane="topRight" activeCell="D1" sqref="D1"/>
      <selection pane="bottomLeft" activeCell="A17" sqref="A17"/>
      <selection pane="bottomRight" activeCell="F7" sqref="F6:F7"/>
    </sheetView>
  </sheetViews>
  <sheetFormatPr baseColWidth="10" defaultRowHeight="12.75" x14ac:dyDescent="0.2"/>
  <cols>
    <col min="1" max="1" width="13.42578125" style="142" customWidth="1"/>
    <col min="2" max="2" width="18.7109375" style="142" customWidth="1"/>
    <col min="3" max="3" width="19.28515625" style="163" customWidth="1"/>
    <col min="4" max="4" width="18.28515625" style="163" customWidth="1"/>
    <col min="5" max="5" width="28.42578125" style="163" customWidth="1"/>
    <col min="6" max="6" width="32.7109375" style="163" customWidth="1"/>
    <col min="7" max="7" width="39" style="163" customWidth="1"/>
    <col min="8" max="8" width="47.7109375" style="163" customWidth="1"/>
    <col min="9" max="16384" width="11.42578125" style="163"/>
  </cols>
  <sheetData>
    <row r="1" spans="1:13" ht="13.5" customHeight="1" x14ac:dyDescent="0.45">
      <c r="A1" s="465"/>
      <c r="B1" s="465"/>
      <c r="C1" s="465"/>
      <c r="D1" s="465"/>
      <c r="E1" s="465"/>
      <c r="F1" s="465"/>
      <c r="G1" s="465"/>
      <c r="H1" s="465"/>
      <c r="I1" s="162"/>
      <c r="J1" s="162"/>
      <c r="K1" s="162"/>
      <c r="L1" s="162"/>
      <c r="M1" s="162"/>
    </row>
    <row r="2" spans="1:13" ht="13.5" customHeight="1" x14ac:dyDescent="0.45">
      <c r="A2" s="252"/>
      <c r="B2" s="252"/>
      <c r="C2" s="252"/>
      <c r="D2" s="252"/>
      <c r="E2" s="252"/>
      <c r="F2" s="252"/>
      <c r="G2" s="252"/>
      <c r="H2" s="252"/>
      <c r="I2" s="162"/>
      <c r="J2" s="162"/>
      <c r="K2" s="162"/>
      <c r="L2" s="162"/>
      <c r="M2" s="162"/>
    </row>
    <row r="3" spans="1:13" ht="13.5" customHeight="1" x14ac:dyDescent="0.45">
      <c r="A3" s="252"/>
      <c r="B3" s="252"/>
      <c r="C3" s="252"/>
      <c r="D3" s="252"/>
      <c r="E3" s="252"/>
      <c r="F3" s="252"/>
      <c r="G3" s="252"/>
      <c r="H3" s="252"/>
      <c r="I3" s="162"/>
      <c r="J3" s="162"/>
      <c r="K3" s="162"/>
      <c r="L3" s="162"/>
      <c r="M3" s="162"/>
    </row>
    <row r="4" spans="1:13" ht="13.5" customHeight="1" x14ac:dyDescent="0.45">
      <c r="A4" s="252"/>
      <c r="B4" s="252"/>
      <c r="C4" s="252"/>
      <c r="D4" s="252"/>
      <c r="E4" s="252"/>
      <c r="F4" s="252"/>
      <c r="G4" s="252"/>
      <c r="H4" s="252"/>
      <c r="I4" s="162"/>
      <c r="J4" s="162"/>
      <c r="K4" s="162"/>
      <c r="L4" s="162"/>
      <c r="M4" s="162"/>
    </row>
    <row r="5" spans="1:13" ht="13.5" customHeight="1" x14ac:dyDescent="0.45">
      <c r="A5" s="252"/>
      <c r="B5" s="252"/>
      <c r="C5" s="252"/>
      <c r="D5" s="252"/>
      <c r="E5" s="252"/>
      <c r="F5" s="252"/>
      <c r="G5" s="252"/>
      <c r="H5" s="252"/>
      <c r="I5" s="162"/>
      <c r="J5" s="162"/>
      <c r="K5" s="162"/>
      <c r="L5" s="162"/>
      <c r="M5" s="162"/>
    </row>
    <row r="6" spans="1:13" ht="13.5" customHeight="1" x14ac:dyDescent="0.45">
      <c r="A6" s="252"/>
      <c r="B6" s="252"/>
      <c r="C6" s="252"/>
      <c r="D6" s="252"/>
      <c r="E6" s="252"/>
      <c r="F6" s="252"/>
      <c r="G6" s="252"/>
      <c r="H6" s="252"/>
      <c r="I6" s="162"/>
      <c r="J6" s="162"/>
      <c r="K6" s="162"/>
      <c r="L6" s="162"/>
      <c r="M6" s="162"/>
    </row>
    <row r="7" spans="1:13" ht="13.5" customHeight="1" x14ac:dyDescent="0.45">
      <c r="A7" s="252"/>
      <c r="B7" s="252"/>
      <c r="C7" s="252"/>
      <c r="D7" s="252"/>
      <c r="E7" s="252"/>
      <c r="F7" s="252"/>
      <c r="G7" s="252"/>
      <c r="H7" s="252"/>
      <c r="I7" s="162"/>
      <c r="J7" s="162"/>
      <c r="K7" s="162"/>
      <c r="L7" s="162"/>
      <c r="M7" s="162"/>
    </row>
    <row r="8" spans="1:13" ht="25.5" customHeight="1" x14ac:dyDescent="0.4">
      <c r="A8" s="466" t="str">
        <f>IF(Data!$C$15="","",VLOOKUP(Data!$C$15,Traduction!$A$2:$BR$13,3,FALSE))</f>
        <v>Période d'élevage</v>
      </c>
      <c r="B8" s="466"/>
      <c r="C8" s="466"/>
      <c r="D8" s="466"/>
      <c r="E8" s="466"/>
      <c r="F8" s="466"/>
      <c r="G8" s="466"/>
      <c r="H8" s="466"/>
      <c r="I8" s="164"/>
      <c r="J8" s="164"/>
      <c r="K8" s="164"/>
      <c r="L8" s="164"/>
      <c r="M8" s="164"/>
    </row>
    <row r="9" spans="1:13" ht="23.25" customHeight="1" thickBot="1" x14ac:dyDescent="0.4">
      <c r="A9" s="114"/>
      <c r="B9" s="114"/>
      <c r="C9" s="114"/>
      <c r="D9" s="114"/>
      <c r="E9" s="114"/>
      <c r="F9" s="114"/>
      <c r="G9" s="114"/>
      <c r="H9" s="144"/>
      <c r="I9" s="144"/>
      <c r="J9" s="144"/>
      <c r="K9" s="144"/>
      <c r="L9" s="144"/>
      <c r="M9" s="144"/>
    </row>
    <row r="10" spans="1:13" ht="19.5" customHeight="1" x14ac:dyDescent="0.35">
      <c r="A10" s="145" t="str">
        <f>IF(Data!$C$15="","",VLOOKUP(Data!$C$15,Traduction!$A$2:$BR$13,4,FALSE))</f>
        <v>Pays</v>
      </c>
      <c r="B10" s="146"/>
      <c r="C10" s="146"/>
      <c r="D10" s="353" t="str">
        <f>IF(Data!F21&lt;&gt;"",Data!F21,"")</f>
        <v/>
      </c>
      <c r="E10" s="147"/>
      <c r="F10" s="148" t="str">
        <f>IF(Data!$C$15="","",VLOOKUP(Data!$C$15,Traduction!$A$2:$BR$13,8,FALSE))</f>
        <v>Lignée</v>
      </c>
      <c r="G10" s="146"/>
      <c r="H10" s="149" t="str">
        <f>IF(Data!F25&lt;&gt;"",Data!F25,"")</f>
        <v/>
      </c>
      <c r="I10" s="144"/>
      <c r="J10" s="144"/>
      <c r="K10" s="144"/>
      <c r="L10" s="144"/>
      <c r="M10" s="144"/>
    </row>
    <row r="11" spans="1:13" ht="19.5" customHeight="1" x14ac:dyDescent="0.35">
      <c r="A11" s="150" t="str">
        <f>IF(Data!$C$15="","",VLOOKUP(Data!$C$15,Traduction!$A$2:$BR$13,5,FALSE))</f>
        <v>Société</v>
      </c>
      <c r="B11" s="151"/>
      <c r="C11" s="151"/>
      <c r="D11" s="354" t="str">
        <f>IF(Data!F22&lt;&gt;"",Data!F22,"")</f>
        <v/>
      </c>
      <c r="E11" s="152"/>
      <c r="F11" s="463" t="str">
        <f>IF(Data!$C$15="","",VLOOKUP(Data!$C$15,Traduction!$A$2:$BR$13,10,FALSE))</f>
        <v>Date d'éclosion</v>
      </c>
      <c r="G11" s="464"/>
      <c r="H11" s="153" t="str">
        <f>IF(Data!F27&lt;&gt;"",Data!F27,"")</f>
        <v/>
      </c>
      <c r="I11" s="144"/>
      <c r="J11" s="144"/>
      <c r="K11" s="144"/>
      <c r="L11" s="144"/>
      <c r="M11" s="144"/>
    </row>
    <row r="12" spans="1:13" ht="19.5" customHeight="1" x14ac:dyDescent="0.35">
      <c r="A12" s="154" t="str">
        <f>IF(Data!$C$15="","",VLOOKUP(Data!$C$15,Traduction!$A$2:$BR$13,6,FALSE))</f>
        <v>Ferme</v>
      </c>
      <c r="B12" s="155"/>
      <c r="C12" s="155"/>
      <c r="D12" s="354" t="str">
        <f>IF(Data!F23&lt;&gt;"",Data!F23,"")</f>
        <v/>
      </c>
      <c r="E12" s="152"/>
      <c r="F12" s="461" t="str">
        <f>IF(Data!$C$15="","",VLOOKUP(Data!$C$15,Traduction!$A$2:$BR$13,9,FALSE))</f>
        <v>Nombre</v>
      </c>
      <c r="G12" s="462"/>
      <c r="H12" s="156" t="str">
        <f>IF(Data!F26&lt;&gt;"",Data!F26,"")</f>
        <v/>
      </c>
      <c r="I12" s="144"/>
      <c r="J12" s="144"/>
      <c r="K12" s="144"/>
      <c r="L12" s="144"/>
      <c r="M12" s="144"/>
    </row>
    <row r="13" spans="1:13" ht="19.5" customHeight="1" thickBot="1" x14ac:dyDescent="0.4">
      <c r="A13" s="157" t="str">
        <f>IF(Data!$C$15="","",VLOOKUP(Data!$C$15,Traduction!$A$2:$BR$13,7,FALSE))</f>
        <v>Poulailler</v>
      </c>
      <c r="B13" s="158"/>
      <c r="C13" s="158"/>
      <c r="D13" s="355" t="str">
        <f>IF(Data!F24&lt;&gt;"",Data!F24,"")</f>
        <v/>
      </c>
      <c r="E13" s="159"/>
      <c r="F13" s="160" t="str">
        <f>IF(Data!$C$15="","",VLOOKUP(Data!$C$15,Traduction!$A$2:$BR$13,15,FALSE))</f>
        <v>Date du transfert</v>
      </c>
      <c r="G13" s="158"/>
      <c r="H13" s="161" t="str">
        <f>IF(Data!F38&lt;&gt;"",Data!F38,"")</f>
        <v/>
      </c>
      <c r="I13" s="144"/>
      <c r="J13" s="144"/>
      <c r="K13" s="144"/>
      <c r="L13" s="144"/>
      <c r="M13" s="144"/>
    </row>
    <row r="14" spans="1:13" ht="16.5" thickBot="1" x14ac:dyDescent="0.3">
      <c r="A14" s="165"/>
      <c r="B14" s="165"/>
      <c r="C14" s="460"/>
      <c r="D14" s="460"/>
      <c r="E14" s="460"/>
      <c r="F14" s="460"/>
      <c r="G14" s="460"/>
      <c r="H14" s="166"/>
    </row>
    <row r="15" spans="1:13" ht="14.25" customHeight="1" x14ac:dyDescent="0.2">
      <c r="A15" s="167" t="str">
        <f>IF(Data!$C$15="","",VLOOKUP(Data!$C$15,Traduction!$A$2:$BR$13,18,FALSE))</f>
        <v>Age</v>
      </c>
      <c r="B15" s="458" t="str">
        <f>IF(Data!$C$15="","",VLOOKUP(Data!$C$15,Traduction!$A$2:$BR$13,25,FALSE))</f>
        <v>Date début de semaine</v>
      </c>
      <c r="C15" s="168" t="str">
        <f>IF(Data!$C$15="","",VLOOKUP(Data!$C$15,Traduction!$A$2:$BR$13,18,FALSE))</f>
        <v>Age</v>
      </c>
      <c r="D15" s="168" t="str">
        <f>IF(Data!$C$15="","",VLOOKUP(Data!$C$15,Traduction!$A$2:$BR$13,19,FALSE))</f>
        <v>Mortalité</v>
      </c>
      <c r="E15" s="168" t="str">
        <f>IF(Data!$C$15="","",VLOOKUP(Data!$C$15,Traduction!$A$2:$BR$13,20,FALSE))</f>
        <v>Poids corporel</v>
      </c>
      <c r="F15" s="168" t="str">
        <f>IF(Data!$C$15="","",VLOOKUP(Data!$C$15,Traduction!$A$2:$BR$13,21,FALSE))</f>
        <v>Homogénéité</v>
      </c>
      <c r="G15" s="168" t="str">
        <f>IF(Data!$C$15="","",VLOOKUP(Data!$C$15,Traduction!$A$2:$BR$13,22,FALSE))</f>
        <v>Conso totale aliment</v>
      </c>
      <c r="H15" s="169" t="str">
        <f>IF(Data!$C$15="","",VLOOKUP(Data!$C$15,Traduction!$A$2:$BR$13,23,FALSE))</f>
        <v>Commentaires</v>
      </c>
    </row>
    <row r="16" spans="1:13" s="172" customFormat="1" ht="12.75" customHeight="1" x14ac:dyDescent="0.2">
      <c r="A16" s="261"/>
      <c r="B16" s="459"/>
      <c r="C16" s="170" t="str">
        <f>IF(Data!$C$15="","",VLOOKUP(Data!$C$15,Traduction!$A$2:$BR$13,54,FALSE))</f>
        <v>Jour</v>
      </c>
      <c r="D16" s="170" t="str">
        <f>IF(Data!$C$15="","",VLOOKUP(Data!$C$15,Traduction!$A$2:$BZ$13,9,FALSE))</f>
        <v>Nombre</v>
      </c>
      <c r="E16" s="170" t="str">
        <f>IF(Data!$C$15="","",VLOOKUP(Data!$C$15,Traduction!$A$2:$BZ$13,75,FALSE))</f>
        <v>g</v>
      </c>
      <c r="F16" s="170" t="s">
        <v>3</v>
      </c>
      <c r="G16" s="170" t="str">
        <f>IF(Data!$C$15="","",VLOOKUP(Data!$C$15,Traduction!$A$2:$BZ$13,78,FALSE))</f>
        <v>kg</v>
      </c>
      <c r="H16" s="171"/>
    </row>
    <row r="17" spans="1:8" s="176" customFormat="1" ht="12.95" customHeight="1" x14ac:dyDescent="0.2">
      <c r="A17" s="431"/>
      <c r="B17" s="412" t="str">
        <f>IF(Data!$F$27&lt;&gt;"",Data!$F$27,"")</f>
        <v/>
      </c>
      <c r="C17" s="416">
        <v>1</v>
      </c>
      <c r="D17" s="174"/>
      <c r="E17" s="174"/>
      <c r="F17" s="174"/>
      <c r="G17" s="174"/>
      <c r="H17" s="175"/>
    </row>
    <row r="18" spans="1:8" s="176" customFormat="1" ht="12.95" customHeight="1" x14ac:dyDescent="0.2">
      <c r="A18" s="431"/>
      <c r="B18" s="413" t="str">
        <f>IF(Data!$F$27&lt;&gt;"",B17+1,"")</f>
        <v/>
      </c>
      <c r="C18" s="416">
        <v>2</v>
      </c>
      <c r="D18" s="174"/>
      <c r="E18" s="174"/>
      <c r="F18" s="174"/>
      <c r="G18" s="174"/>
      <c r="H18" s="175"/>
    </row>
    <row r="19" spans="1:8" s="176" customFormat="1" ht="12.95" customHeight="1" x14ac:dyDescent="0.2">
      <c r="A19" s="431"/>
      <c r="B19" s="413" t="str">
        <f>IF(Data!$F$27&lt;&gt;"",B18+1,"")</f>
        <v/>
      </c>
      <c r="C19" s="416">
        <v>3</v>
      </c>
      <c r="D19" s="174"/>
      <c r="E19" s="174"/>
      <c r="F19" s="174"/>
      <c r="G19" s="174"/>
      <c r="H19" s="175"/>
    </row>
    <row r="20" spans="1:8" s="176" customFormat="1" ht="12.95" customHeight="1" x14ac:dyDescent="0.2">
      <c r="A20" s="431"/>
      <c r="B20" s="413" t="str">
        <f>IF(Data!$F$27&lt;&gt;"",B19+1,"")</f>
        <v/>
      </c>
      <c r="C20" s="416">
        <v>4</v>
      </c>
      <c r="D20" s="174"/>
      <c r="E20" s="174"/>
      <c r="F20" s="174"/>
      <c r="G20" s="174"/>
      <c r="H20" s="175"/>
    </row>
    <row r="21" spans="1:8" s="176" customFormat="1" ht="12.95" customHeight="1" x14ac:dyDescent="0.2">
      <c r="A21" s="431"/>
      <c r="B21" s="413" t="str">
        <f>IF(Data!$F$27&lt;&gt;"",B20+1,"")</f>
        <v/>
      </c>
      <c r="C21" s="416">
        <v>5</v>
      </c>
      <c r="D21" s="174"/>
      <c r="E21" s="174"/>
      <c r="F21" s="174"/>
      <c r="G21" s="174"/>
      <c r="H21" s="175"/>
    </row>
    <row r="22" spans="1:8" s="176" customFormat="1" ht="12.95" customHeight="1" x14ac:dyDescent="0.2">
      <c r="A22" s="431"/>
      <c r="B22" s="413" t="str">
        <f>IF(Data!$F$27&lt;&gt;"",B21+1,"")</f>
        <v/>
      </c>
      <c r="C22" s="416">
        <v>6</v>
      </c>
      <c r="D22" s="174"/>
      <c r="E22" s="174"/>
      <c r="F22" s="174"/>
      <c r="G22" s="174"/>
      <c r="H22" s="175"/>
    </row>
    <row r="23" spans="1:8" s="176" customFormat="1" ht="12.95" customHeight="1" x14ac:dyDescent="0.2">
      <c r="A23" s="432">
        <v>1</v>
      </c>
      <c r="B23" s="414" t="str">
        <f>IF(Data!$F$27&lt;&gt;"",B22+1,"")</f>
        <v/>
      </c>
      <c r="C23" s="417">
        <v>7</v>
      </c>
      <c r="D23" s="177"/>
      <c r="E23" s="177"/>
      <c r="F23" s="177"/>
      <c r="G23" s="177"/>
      <c r="H23" s="178"/>
    </row>
    <row r="24" spans="1:8" s="176" customFormat="1" ht="12.95" customHeight="1" x14ac:dyDescent="0.2">
      <c r="A24" s="431"/>
      <c r="B24" s="413" t="str">
        <f>IF(Data!$F$27&lt;&gt;"",B23+1,"")</f>
        <v/>
      </c>
      <c r="C24" s="416">
        <v>8</v>
      </c>
      <c r="D24" s="174"/>
      <c r="E24" s="174"/>
      <c r="F24" s="174"/>
      <c r="G24" s="174"/>
      <c r="H24" s="175"/>
    </row>
    <row r="25" spans="1:8" s="176" customFormat="1" ht="12.95" customHeight="1" x14ac:dyDescent="0.2">
      <c r="A25" s="431"/>
      <c r="B25" s="413" t="str">
        <f>IF(Data!$F$27&lt;&gt;"",B24+1,"")</f>
        <v/>
      </c>
      <c r="C25" s="416">
        <v>9</v>
      </c>
      <c r="D25" s="179"/>
      <c r="E25" s="174"/>
      <c r="F25" s="174"/>
      <c r="G25" s="174"/>
      <c r="H25" s="175"/>
    </row>
    <row r="26" spans="1:8" s="176" customFormat="1" ht="12.95" customHeight="1" x14ac:dyDescent="0.2">
      <c r="A26" s="431"/>
      <c r="B26" s="413" t="str">
        <f>IF(Data!$F$27&lt;&gt;"",B25+1,"")</f>
        <v/>
      </c>
      <c r="C26" s="416">
        <v>10</v>
      </c>
      <c r="D26" s="174"/>
      <c r="E26" s="174"/>
      <c r="F26" s="174"/>
      <c r="G26" s="174"/>
      <c r="H26" s="175"/>
    </row>
    <row r="27" spans="1:8" s="176" customFormat="1" ht="12.95" customHeight="1" x14ac:dyDescent="0.2">
      <c r="A27" s="431"/>
      <c r="B27" s="413" t="str">
        <f>IF(Data!$F$27&lt;&gt;"",B26+1,"")</f>
        <v/>
      </c>
      <c r="C27" s="416">
        <v>11</v>
      </c>
      <c r="D27" s="174"/>
      <c r="E27" s="174"/>
      <c r="F27" s="174"/>
      <c r="G27" s="174"/>
      <c r="H27" s="175"/>
    </row>
    <row r="28" spans="1:8" s="176" customFormat="1" ht="12.95" customHeight="1" x14ac:dyDescent="0.2">
      <c r="A28" s="431"/>
      <c r="B28" s="413" t="str">
        <f>IF(Data!$F$27&lt;&gt;"",B27+1,"")</f>
        <v/>
      </c>
      <c r="C28" s="416">
        <v>12</v>
      </c>
      <c r="D28" s="174"/>
      <c r="E28" s="174"/>
      <c r="F28" s="174"/>
      <c r="G28" s="174"/>
      <c r="H28" s="175"/>
    </row>
    <row r="29" spans="1:8" s="176" customFormat="1" ht="12.95" customHeight="1" x14ac:dyDescent="0.2">
      <c r="A29" s="431"/>
      <c r="B29" s="413" t="str">
        <f>IF(Data!$F$27&lt;&gt;"",B28+1,"")</f>
        <v/>
      </c>
      <c r="C29" s="416">
        <v>13</v>
      </c>
      <c r="D29" s="174"/>
      <c r="E29" s="174"/>
      <c r="F29" s="174"/>
      <c r="G29" s="174"/>
      <c r="H29" s="175"/>
    </row>
    <row r="30" spans="1:8" s="176" customFormat="1" ht="12.95" customHeight="1" x14ac:dyDescent="0.2">
      <c r="A30" s="432">
        <v>2</v>
      </c>
      <c r="B30" s="414" t="str">
        <f>IF(Data!$F$27&lt;&gt;"",B29+1,"")</f>
        <v/>
      </c>
      <c r="C30" s="417">
        <v>14</v>
      </c>
      <c r="D30" s="177"/>
      <c r="E30" s="177"/>
      <c r="F30" s="177"/>
      <c r="G30" s="177"/>
      <c r="H30" s="178"/>
    </row>
    <row r="31" spans="1:8" s="176" customFormat="1" ht="12.95" customHeight="1" x14ac:dyDescent="0.2">
      <c r="A31" s="431"/>
      <c r="B31" s="413" t="str">
        <f>IF(Data!$F$27&lt;&gt;"",B30+1,"")</f>
        <v/>
      </c>
      <c r="C31" s="416">
        <v>15</v>
      </c>
      <c r="D31" s="174"/>
      <c r="E31" s="174"/>
      <c r="F31" s="174"/>
      <c r="G31" s="174"/>
      <c r="H31" s="175"/>
    </row>
    <row r="32" spans="1:8" s="176" customFormat="1" ht="12.95" customHeight="1" x14ac:dyDescent="0.2">
      <c r="A32" s="431"/>
      <c r="B32" s="413" t="str">
        <f>IF(Data!$F$27&lt;&gt;"",B31+1,"")</f>
        <v/>
      </c>
      <c r="C32" s="416">
        <v>16</v>
      </c>
      <c r="D32" s="179"/>
      <c r="E32" s="174"/>
      <c r="F32" s="174"/>
      <c r="G32" s="174"/>
      <c r="H32" s="175"/>
    </row>
    <row r="33" spans="1:8" s="176" customFormat="1" ht="12.95" customHeight="1" x14ac:dyDescent="0.2">
      <c r="A33" s="431"/>
      <c r="B33" s="413" t="str">
        <f>IF(Data!$F$27&lt;&gt;"",B32+1,"")</f>
        <v/>
      </c>
      <c r="C33" s="416">
        <v>17</v>
      </c>
      <c r="D33" s="174"/>
      <c r="E33" s="174"/>
      <c r="F33" s="174"/>
      <c r="G33" s="174"/>
      <c r="H33" s="175"/>
    </row>
    <row r="34" spans="1:8" s="176" customFormat="1" ht="12.95" customHeight="1" x14ac:dyDescent="0.2">
      <c r="A34" s="431"/>
      <c r="B34" s="413" t="str">
        <f>IF(Data!$F$27&lt;&gt;"",B33+1,"")</f>
        <v/>
      </c>
      <c r="C34" s="416">
        <v>18</v>
      </c>
      <c r="D34" s="174"/>
      <c r="E34" s="174"/>
      <c r="F34" s="174"/>
      <c r="G34" s="174"/>
      <c r="H34" s="175"/>
    </row>
    <row r="35" spans="1:8" s="176" customFormat="1" ht="12.95" customHeight="1" x14ac:dyDescent="0.2">
      <c r="A35" s="431"/>
      <c r="B35" s="413" t="str">
        <f>IF(Data!$F$27&lt;&gt;"",B34+1,"")</f>
        <v/>
      </c>
      <c r="C35" s="416">
        <v>19</v>
      </c>
      <c r="D35" s="174"/>
      <c r="E35" s="174"/>
      <c r="F35" s="174"/>
      <c r="G35" s="174"/>
      <c r="H35" s="175"/>
    </row>
    <row r="36" spans="1:8" s="176" customFormat="1" ht="12.95" customHeight="1" x14ac:dyDescent="0.2">
      <c r="A36" s="431"/>
      <c r="B36" s="413" t="str">
        <f>IF(Data!$F$27&lt;&gt;"",B35+1,"")</f>
        <v/>
      </c>
      <c r="C36" s="416">
        <v>20</v>
      </c>
      <c r="D36" s="174"/>
      <c r="E36" s="174"/>
      <c r="F36" s="174"/>
      <c r="G36" s="174"/>
      <c r="H36" s="175"/>
    </row>
    <row r="37" spans="1:8" s="176" customFormat="1" ht="12.95" customHeight="1" x14ac:dyDescent="0.2">
      <c r="A37" s="432">
        <v>3</v>
      </c>
      <c r="B37" s="414" t="str">
        <f>IF(Data!$F$27&lt;&gt;"",B36+1,"")</f>
        <v/>
      </c>
      <c r="C37" s="417">
        <v>21</v>
      </c>
      <c r="D37" s="177"/>
      <c r="E37" s="177"/>
      <c r="F37" s="177"/>
      <c r="G37" s="177"/>
      <c r="H37" s="178"/>
    </row>
    <row r="38" spans="1:8" s="176" customFormat="1" ht="12.95" customHeight="1" x14ac:dyDescent="0.2">
      <c r="A38" s="431"/>
      <c r="B38" s="413" t="str">
        <f>IF(Data!$F$27&lt;&gt;"",B37+1,"")</f>
        <v/>
      </c>
      <c r="C38" s="416">
        <v>22</v>
      </c>
      <c r="D38" s="174"/>
      <c r="E38" s="174"/>
      <c r="F38" s="174"/>
      <c r="G38" s="174"/>
      <c r="H38" s="175"/>
    </row>
    <row r="39" spans="1:8" s="176" customFormat="1" ht="12.95" customHeight="1" x14ac:dyDescent="0.2">
      <c r="A39" s="431"/>
      <c r="B39" s="413" t="str">
        <f>IF(Data!$F$27&lt;&gt;"",B38+1,"")</f>
        <v/>
      </c>
      <c r="C39" s="416">
        <v>23</v>
      </c>
      <c r="D39" s="179"/>
      <c r="E39" s="174"/>
      <c r="F39" s="174"/>
      <c r="G39" s="174"/>
      <c r="H39" s="175"/>
    </row>
    <row r="40" spans="1:8" s="176" customFormat="1" ht="12.95" customHeight="1" x14ac:dyDescent="0.2">
      <c r="A40" s="431"/>
      <c r="B40" s="413" t="str">
        <f>IF(Data!$F$27&lt;&gt;"",B39+1,"")</f>
        <v/>
      </c>
      <c r="C40" s="416">
        <v>24</v>
      </c>
      <c r="D40" s="174"/>
      <c r="E40" s="174"/>
      <c r="F40" s="174"/>
      <c r="G40" s="174"/>
      <c r="H40" s="175"/>
    </row>
    <row r="41" spans="1:8" s="176" customFormat="1" ht="12.95" customHeight="1" x14ac:dyDescent="0.2">
      <c r="A41" s="431"/>
      <c r="B41" s="413" t="str">
        <f>IF(Data!$F$27&lt;&gt;"",B40+1,"")</f>
        <v/>
      </c>
      <c r="C41" s="416">
        <v>25</v>
      </c>
      <c r="D41" s="174"/>
      <c r="E41" s="174"/>
      <c r="F41" s="174"/>
      <c r="G41" s="174"/>
      <c r="H41" s="175"/>
    </row>
    <row r="42" spans="1:8" s="176" customFormat="1" ht="12.95" customHeight="1" x14ac:dyDescent="0.2">
      <c r="A42" s="431"/>
      <c r="B42" s="413" t="str">
        <f>IF(Data!$F$27&lt;&gt;"",B41+1,"")</f>
        <v/>
      </c>
      <c r="C42" s="416">
        <v>26</v>
      </c>
      <c r="D42" s="174"/>
      <c r="E42" s="174"/>
      <c r="F42" s="174"/>
      <c r="G42" s="174"/>
      <c r="H42" s="175"/>
    </row>
    <row r="43" spans="1:8" s="176" customFormat="1" ht="12.95" customHeight="1" x14ac:dyDescent="0.2">
      <c r="A43" s="431"/>
      <c r="B43" s="413" t="str">
        <f>IF(Data!$F$27&lt;&gt;"",B42+1,"")</f>
        <v/>
      </c>
      <c r="C43" s="416">
        <v>27</v>
      </c>
      <c r="D43" s="174"/>
      <c r="E43" s="174"/>
      <c r="F43" s="174"/>
      <c r="G43" s="174"/>
      <c r="H43" s="175"/>
    </row>
    <row r="44" spans="1:8" s="176" customFormat="1" ht="12.95" customHeight="1" x14ac:dyDescent="0.2">
      <c r="A44" s="432">
        <v>4</v>
      </c>
      <c r="B44" s="414" t="str">
        <f>IF(Data!$F$27&lt;&gt;"",B43+1,"")</f>
        <v/>
      </c>
      <c r="C44" s="417">
        <v>28</v>
      </c>
      <c r="D44" s="177"/>
      <c r="E44" s="177"/>
      <c r="F44" s="177"/>
      <c r="G44" s="177"/>
      <c r="H44" s="178"/>
    </row>
    <row r="45" spans="1:8" s="176" customFormat="1" ht="12.95" customHeight="1" x14ac:dyDescent="0.2">
      <c r="A45" s="431"/>
      <c r="B45" s="413" t="str">
        <f>IF(Data!$F$27&lt;&gt;"",B44+1,"")</f>
        <v/>
      </c>
      <c r="C45" s="416">
        <v>29</v>
      </c>
      <c r="D45" s="174"/>
      <c r="E45" s="174"/>
      <c r="F45" s="174"/>
      <c r="G45" s="174"/>
      <c r="H45" s="175"/>
    </row>
    <row r="46" spans="1:8" s="176" customFormat="1" ht="12.95" customHeight="1" x14ac:dyDescent="0.2">
      <c r="A46" s="431"/>
      <c r="B46" s="413" t="str">
        <f>IF(Data!$F$27&lt;&gt;"",B45+1,"")</f>
        <v/>
      </c>
      <c r="C46" s="416">
        <v>30</v>
      </c>
      <c r="D46" s="179"/>
      <c r="E46" s="174"/>
      <c r="F46" s="174"/>
      <c r="G46" s="174"/>
      <c r="H46" s="175"/>
    </row>
    <row r="47" spans="1:8" s="176" customFormat="1" ht="12.95" customHeight="1" x14ac:dyDescent="0.2">
      <c r="A47" s="431"/>
      <c r="B47" s="413" t="str">
        <f>IF(Data!$F$27&lt;&gt;"",B46+1,"")</f>
        <v/>
      </c>
      <c r="C47" s="416">
        <v>31</v>
      </c>
      <c r="D47" s="174"/>
      <c r="E47" s="174"/>
      <c r="F47" s="174"/>
      <c r="G47" s="174"/>
      <c r="H47" s="175"/>
    </row>
    <row r="48" spans="1:8" s="176" customFormat="1" ht="12.95" customHeight="1" x14ac:dyDescent="0.2">
      <c r="A48" s="431"/>
      <c r="B48" s="413" t="str">
        <f>IF(Data!$F$27&lt;&gt;"",B47+1,"")</f>
        <v/>
      </c>
      <c r="C48" s="416">
        <v>32</v>
      </c>
      <c r="D48" s="174"/>
      <c r="E48" s="174"/>
      <c r="F48" s="174"/>
      <c r="G48" s="174"/>
      <c r="H48" s="175"/>
    </row>
    <row r="49" spans="1:8" s="176" customFormat="1" ht="12.95" customHeight="1" x14ac:dyDescent="0.2">
      <c r="A49" s="431"/>
      <c r="B49" s="413" t="str">
        <f>IF(Data!$F$27&lt;&gt;"",B48+1,"")</f>
        <v/>
      </c>
      <c r="C49" s="416">
        <v>33</v>
      </c>
      <c r="D49" s="174"/>
      <c r="E49" s="174"/>
      <c r="F49" s="174"/>
      <c r="G49" s="174"/>
      <c r="H49" s="175"/>
    </row>
    <row r="50" spans="1:8" s="176" customFormat="1" ht="12.95" customHeight="1" x14ac:dyDescent="0.2">
      <c r="A50" s="431"/>
      <c r="B50" s="413" t="str">
        <f>IF(Data!$F$27&lt;&gt;"",B49+1,"")</f>
        <v/>
      </c>
      <c r="C50" s="416">
        <v>34</v>
      </c>
      <c r="D50" s="174"/>
      <c r="E50" s="174"/>
      <c r="F50" s="174"/>
      <c r="G50" s="174"/>
      <c r="H50" s="175"/>
    </row>
    <row r="51" spans="1:8" s="176" customFormat="1" ht="12.95" customHeight="1" x14ac:dyDescent="0.2">
      <c r="A51" s="432">
        <v>5</v>
      </c>
      <c r="B51" s="414" t="str">
        <f>IF(Data!$F$27&lt;&gt;"",B50+1,"")</f>
        <v/>
      </c>
      <c r="C51" s="417">
        <v>35</v>
      </c>
      <c r="D51" s="177"/>
      <c r="E51" s="177"/>
      <c r="F51" s="177"/>
      <c r="G51" s="177"/>
      <c r="H51" s="178"/>
    </row>
    <row r="52" spans="1:8" s="176" customFormat="1" ht="12.95" customHeight="1" x14ac:dyDescent="0.2">
      <c r="A52" s="431"/>
      <c r="B52" s="413" t="str">
        <f>IF(Data!$F$27&lt;&gt;"",B51+1,"")</f>
        <v/>
      </c>
      <c r="C52" s="416">
        <v>36</v>
      </c>
      <c r="D52" s="174"/>
      <c r="E52" s="174"/>
      <c r="F52" s="174"/>
      <c r="G52" s="174"/>
      <c r="H52" s="175"/>
    </row>
    <row r="53" spans="1:8" s="176" customFormat="1" ht="12.95" customHeight="1" x14ac:dyDescent="0.2">
      <c r="A53" s="431"/>
      <c r="B53" s="413" t="str">
        <f>IF(Data!$F$27&lt;&gt;"",B52+1,"")</f>
        <v/>
      </c>
      <c r="C53" s="416">
        <v>37</v>
      </c>
      <c r="D53" s="179"/>
      <c r="E53" s="174"/>
      <c r="F53" s="174"/>
      <c r="G53" s="174"/>
      <c r="H53" s="175"/>
    </row>
    <row r="54" spans="1:8" s="176" customFormat="1" ht="12.95" customHeight="1" x14ac:dyDescent="0.2">
      <c r="A54" s="431"/>
      <c r="B54" s="413" t="str">
        <f>IF(Data!$F$27&lt;&gt;"",B53+1,"")</f>
        <v/>
      </c>
      <c r="C54" s="416">
        <v>38</v>
      </c>
      <c r="D54" s="174"/>
      <c r="E54" s="174"/>
      <c r="F54" s="174"/>
      <c r="G54" s="174"/>
      <c r="H54" s="175"/>
    </row>
    <row r="55" spans="1:8" s="176" customFormat="1" ht="12.95" customHeight="1" x14ac:dyDescent="0.2">
      <c r="A55" s="431"/>
      <c r="B55" s="413" t="str">
        <f>IF(Data!$F$27&lt;&gt;"",B54+1,"")</f>
        <v/>
      </c>
      <c r="C55" s="416">
        <v>39</v>
      </c>
      <c r="D55" s="174"/>
      <c r="E55" s="174"/>
      <c r="F55" s="174"/>
      <c r="G55" s="174"/>
      <c r="H55" s="175"/>
    </row>
    <row r="56" spans="1:8" s="176" customFormat="1" ht="12.95" customHeight="1" x14ac:dyDescent="0.2">
      <c r="A56" s="431"/>
      <c r="B56" s="413" t="str">
        <f>IF(Data!$F$27&lt;&gt;"",B55+1,"")</f>
        <v/>
      </c>
      <c r="C56" s="416">
        <v>40</v>
      </c>
      <c r="D56" s="174"/>
      <c r="E56" s="174"/>
      <c r="F56" s="174"/>
      <c r="G56" s="174"/>
      <c r="H56" s="175"/>
    </row>
    <row r="57" spans="1:8" s="176" customFormat="1" ht="12.95" customHeight="1" x14ac:dyDescent="0.2">
      <c r="A57" s="431"/>
      <c r="B57" s="413" t="str">
        <f>IF(Data!$F$27&lt;&gt;"",B56+1,"")</f>
        <v/>
      </c>
      <c r="C57" s="416">
        <v>41</v>
      </c>
      <c r="D57" s="174"/>
      <c r="E57" s="174"/>
      <c r="F57" s="174"/>
      <c r="G57" s="174"/>
      <c r="H57" s="175"/>
    </row>
    <row r="58" spans="1:8" s="176" customFormat="1" ht="12.95" customHeight="1" x14ac:dyDescent="0.2">
      <c r="A58" s="432">
        <v>6</v>
      </c>
      <c r="B58" s="414" t="str">
        <f>IF(Data!$F$27&lt;&gt;"",B57+1,"")</f>
        <v/>
      </c>
      <c r="C58" s="417">
        <v>42</v>
      </c>
      <c r="D58" s="177"/>
      <c r="E58" s="177"/>
      <c r="F58" s="177"/>
      <c r="G58" s="177"/>
      <c r="H58" s="178"/>
    </row>
    <row r="59" spans="1:8" s="176" customFormat="1" ht="12.95" customHeight="1" x14ac:dyDescent="0.2">
      <c r="A59" s="431"/>
      <c r="B59" s="413" t="str">
        <f>IF(Data!$F$27&lt;&gt;"",B58+1,"")</f>
        <v/>
      </c>
      <c r="C59" s="416">
        <v>43</v>
      </c>
      <c r="D59" s="174"/>
      <c r="E59" s="174"/>
      <c r="F59" s="174"/>
      <c r="G59" s="174"/>
      <c r="H59" s="175"/>
    </row>
    <row r="60" spans="1:8" s="176" customFormat="1" ht="12.95" customHeight="1" x14ac:dyDescent="0.2">
      <c r="A60" s="431"/>
      <c r="B60" s="413" t="str">
        <f>IF(Data!$F$27&lt;&gt;"",B59+1,"")</f>
        <v/>
      </c>
      <c r="C60" s="416">
        <v>44</v>
      </c>
      <c r="D60" s="179"/>
      <c r="E60" s="174"/>
      <c r="F60" s="174"/>
      <c r="G60" s="174"/>
      <c r="H60" s="175"/>
    </row>
    <row r="61" spans="1:8" s="176" customFormat="1" ht="12.95" customHeight="1" x14ac:dyDescent="0.2">
      <c r="A61" s="431"/>
      <c r="B61" s="413" t="str">
        <f>IF(Data!$F$27&lt;&gt;"",B60+1,"")</f>
        <v/>
      </c>
      <c r="C61" s="416">
        <v>45</v>
      </c>
      <c r="D61" s="174"/>
      <c r="E61" s="174"/>
      <c r="F61" s="174"/>
      <c r="G61" s="174"/>
      <c r="H61" s="175"/>
    </row>
    <row r="62" spans="1:8" s="176" customFormat="1" ht="12.95" customHeight="1" x14ac:dyDescent="0.2">
      <c r="A62" s="431"/>
      <c r="B62" s="413" t="str">
        <f>IF(Data!$F$27&lt;&gt;"",B61+1,"")</f>
        <v/>
      </c>
      <c r="C62" s="416">
        <v>46</v>
      </c>
      <c r="D62" s="174"/>
      <c r="E62" s="174"/>
      <c r="F62" s="174"/>
      <c r="G62" s="174"/>
      <c r="H62" s="175"/>
    </row>
    <row r="63" spans="1:8" s="176" customFormat="1" ht="12.95" customHeight="1" x14ac:dyDescent="0.2">
      <c r="A63" s="431"/>
      <c r="B63" s="413" t="str">
        <f>IF(Data!$F$27&lt;&gt;"",B62+1,"")</f>
        <v/>
      </c>
      <c r="C63" s="416">
        <v>47</v>
      </c>
      <c r="D63" s="174"/>
      <c r="E63" s="174"/>
      <c r="F63" s="174"/>
      <c r="G63" s="174"/>
      <c r="H63" s="175"/>
    </row>
    <row r="64" spans="1:8" s="176" customFormat="1" ht="12.95" customHeight="1" x14ac:dyDescent="0.2">
      <c r="A64" s="431"/>
      <c r="B64" s="413" t="str">
        <f>IF(Data!$F$27&lt;&gt;"",B63+1,"")</f>
        <v/>
      </c>
      <c r="C64" s="416">
        <v>48</v>
      </c>
      <c r="D64" s="174"/>
      <c r="E64" s="174"/>
      <c r="F64" s="174"/>
      <c r="G64" s="174"/>
      <c r="H64" s="175"/>
    </row>
    <row r="65" spans="1:8" s="176" customFormat="1" ht="12.95" customHeight="1" x14ac:dyDescent="0.2">
      <c r="A65" s="432">
        <v>7</v>
      </c>
      <c r="B65" s="414" t="str">
        <f>IF(Data!$F$27&lt;&gt;"",B64+1,"")</f>
        <v/>
      </c>
      <c r="C65" s="417">
        <v>49</v>
      </c>
      <c r="D65" s="177"/>
      <c r="E65" s="177"/>
      <c r="F65" s="177"/>
      <c r="G65" s="177"/>
      <c r="H65" s="178"/>
    </row>
    <row r="66" spans="1:8" s="176" customFormat="1" ht="12.95" customHeight="1" x14ac:dyDescent="0.2">
      <c r="A66" s="431"/>
      <c r="B66" s="413" t="str">
        <f>IF(Data!$F$27&lt;&gt;"",B65+1,"")</f>
        <v/>
      </c>
      <c r="C66" s="416">
        <v>50</v>
      </c>
      <c r="D66" s="174"/>
      <c r="E66" s="174"/>
      <c r="F66" s="174"/>
      <c r="G66" s="174"/>
      <c r="H66" s="175"/>
    </row>
    <row r="67" spans="1:8" s="176" customFormat="1" ht="12.95" customHeight="1" x14ac:dyDescent="0.2">
      <c r="A67" s="431"/>
      <c r="B67" s="413" t="str">
        <f>IF(Data!$F$27&lt;&gt;"",B66+1,"")</f>
        <v/>
      </c>
      <c r="C67" s="416">
        <v>51</v>
      </c>
      <c r="D67" s="179"/>
      <c r="E67" s="174"/>
      <c r="F67" s="174"/>
      <c r="G67" s="174"/>
      <c r="H67" s="175"/>
    </row>
    <row r="68" spans="1:8" s="176" customFormat="1" ht="12.95" customHeight="1" x14ac:dyDescent="0.2">
      <c r="A68" s="431"/>
      <c r="B68" s="413" t="str">
        <f>IF(Data!$F$27&lt;&gt;"",B67+1,"")</f>
        <v/>
      </c>
      <c r="C68" s="416">
        <v>52</v>
      </c>
      <c r="D68" s="174"/>
      <c r="E68" s="174"/>
      <c r="F68" s="174"/>
      <c r="G68" s="174"/>
      <c r="H68" s="175"/>
    </row>
    <row r="69" spans="1:8" s="176" customFormat="1" ht="12.95" customHeight="1" x14ac:dyDescent="0.2">
      <c r="A69" s="431"/>
      <c r="B69" s="413" t="str">
        <f>IF(Data!$F$27&lt;&gt;"",B68+1,"")</f>
        <v/>
      </c>
      <c r="C69" s="416">
        <v>53</v>
      </c>
      <c r="D69" s="174"/>
      <c r="E69" s="174"/>
      <c r="F69" s="174"/>
      <c r="G69" s="174"/>
      <c r="H69" s="175"/>
    </row>
    <row r="70" spans="1:8" s="176" customFormat="1" ht="12.95" customHeight="1" x14ac:dyDescent="0.2">
      <c r="A70" s="431"/>
      <c r="B70" s="413" t="str">
        <f>IF(Data!$F$27&lt;&gt;"",B69+1,"")</f>
        <v/>
      </c>
      <c r="C70" s="416">
        <v>54</v>
      </c>
      <c r="D70" s="174"/>
      <c r="E70" s="174"/>
      <c r="F70" s="174"/>
      <c r="G70" s="174"/>
      <c r="H70" s="175"/>
    </row>
    <row r="71" spans="1:8" s="176" customFormat="1" ht="12.95" customHeight="1" x14ac:dyDescent="0.2">
      <c r="A71" s="431"/>
      <c r="B71" s="413" t="str">
        <f>IF(Data!$F$27&lt;&gt;"",B70+1,"")</f>
        <v/>
      </c>
      <c r="C71" s="416">
        <v>55</v>
      </c>
      <c r="D71" s="174"/>
      <c r="E71" s="174"/>
      <c r="F71" s="174"/>
      <c r="G71" s="174"/>
      <c r="H71" s="175"/>
    </row>
    <row r="72" spans="1:8" s="176" customFormat="1" ht="12.95" customHeight="1" x14ac:dyDescent="0.2">
      <c r="A72" s="432">
        <v>8</v>
      </c>
      <c r="B72" s="414" t="str">
        <f>IF(Data!$F$27&lt;&gt;"",B71+1,"")</f>
        <v/>
      </c>
      <c r="C72" s="417">
        <v>56</v>
      </c>
      <c r="D72" s="177"/>
      <c r="E72" s="177"/>
      <c r="F72" s="177"/>
      <c r="G72" s="177"/>
      <c r="H72" s="178"/>
    </row>
    <row r="73" spans="1:8" s="176" customFormat="1" ht="12.95" customHeight="1" x14ac:dyDescent="0.2">
      <c r="A73" s="431"/>
      <c r="B73" s="413" t="str">
        <f>IF(Data!$F$27&lt;&gt;"",B72+1,"")</f>
        <v/>
      </c>
      <c r="C73" s="416">
        <v>57</v>
      </c>
      <c r="D73" s="174"/>
      <c r="E73" s="174"/>
      <c r="F73" s="174"/>
      <c r="G73" s="174"/>
      <c r="H73" s="175"/>
    </row>
    <row r="74" spans="1:8" s="176" customFormat="1" ht="12.95" customHeight="1" x14ac:dyDescent="0.2">
      <c r="A74" s="431"/>
      <c r="B74" s="413" t="str">
        <f>IF(Data!$F$27&lt;&gt;"",B73+1,"")</f>
        <v/>
      </c>
      <c r="C74" s="416">
        <v>58</v>
      </c>
      <c r="D74" s="179"/>
      <c r="E74" s="174"/>
      <c r="F74" s="174"/>
      <c r="G74" s="174"/>
      <c r="H74" s="175"/>
    </row>
    <row r="75" spans="1:8" s="176" customFormat="1" ht="12.95" customHeight="1" x14ac:dyDescent="0.2">
      <c r="A75" s="431"/>
      <c r="B75" s="413" t="str">
        <f>IF(Data!$F$27&lt;&gt;"",B74+1,"")</f>
        <v/>
      </c>
      <c r="C75" s="416">
        <v>59</v>
      </c>
      <c r="D75" s="174"/>
      <c r="E75" s="174"/>
      <c r="F75" s="174"/>
      <c r="G75" s="174"/>
      <c r="H75" s="175"/>
    </row>
    <row r="76" spans="1:8" s="176" customFormat="1" ht="12.95" customHeight="1" x14ac:dyDescent="0.2">
      <c r="A76" s="431"/>
      <c r="B76" s="413" t="str">
        <f>IF(Data!$F$27&lt;&gt;"",B75+1,"")</f>
        <v/>
      </c>
      <c r="C76" s="416">
        <v>60</v>
      </c>
      <c r="D76" s="174"/>
      <c r="E76" s="174"/>
      <c r="F76" s="174"/>
      <c r="G76" s="174"/>
      <c r="H76" s="175"/>
    </row>
    <row r="77" spans="1:8" s="176" customFormat="1" ht="12.95" customHeight="1" x14ac:dyDescent="0.2">
      <c r="A77" s="431"/>
      <c r="B77" s="413" t="str">
        <f>IF(Data!$F$27&lt;&gt;"",B76+1,"")</f>
        <v/>
      </c>
      <c r="C77" s="416">
        <v>61</v>
      </c>
      <c r="D77" s="174"/>
      <c r="E77" s="174"/>
      <c r="F77" s="174"/>
      <c r="G77" s="174"/>
      <c r="H77" s="175"/>
    </row>
    <row r="78" spans="1:8" s="176" customFormat="1" ht="12.95" customHeight="1" x14ac:dyDescent="0.2">
      <c r="A78" s="431"/>
      <c r="B78" s="413" t="str">
        <f>IF(Data!$F$27&lt;&gt;"",B77+1,"")</f>
        <v/>
      </c>
      <c r="C78" s="416">
        <v>62</v>
      </c>
      <c r="D78" s="174"/>
      <c r="E78" s="174"/>
      <c r="F78" s="174"/>
      <c r="G78" s="174"/>
      <c r="H78" s="175"/>
    </row>
    <row r="79" spans="1:8" s="176" customFormat="1" ht="12.95" customHeight="1" x14ac:dyDescent="0.2">
      <c r="A79" s="432">
        <v>9</v>
      </c>
      <c r="B79" s="414" t="str">
        <f>IF(Data!$F$27&lt;&gt;"",B78+1,"")</f>
        <v/>
      </c>
      <c r="C79" s="417">
        <v>63</v>
      </c>
      <c r="D79" s="177"/>
      <c r="E79" s="177"/>
      <c r="F79" s="177"/>
      <c r="G79" s="177"/>
      <c r="H79" s="178"/>
    </row>
    <row r="80" spans="1:8" s="176" customFormat="1" ht="12.95" customHeight="1" x14ac:dyDescent="0.2">
      <c r="A80" s="431"/>
      <c r="B80" s="413" t="str">
        <f>IF(Data!$F$27&lt;&gt;"",B79+1,"")</f>
        <v/>
      </c>
      <c r="C80" s="416">
        <v>64</v>
      </c>
      <c r="D80" s="174"/>
      <c r="E80" s="174"/>
      <c r="F80" s="174"/>
      <c r="G80" s="174"/>
      <c r="H80" s="175"/>
    </row>
    <row r="81" spans="1:8" s="176" customFormat="1" ht="12.95" customHeight="1" x14ac:dyDescent="0.2">
      <c r="A81" s="431"/>
      <c r="B81" s="413" t="str">
        <f>IF(Data!$F$27&lt;&gt;"",B80+1,"")</f>
        <v/>
      </c>
      <c r="C81" s="416">
        <v>65</v>
      </c>
      <c r="D81" s="179"/>
      <c r="E81" s="174"/>
      <c r="F81" s="174"/>
      <c r="G81" s="174"/>
      <c r="H81" s="175"/>
    </row>
    <row r="82" spans="1:8" s="176" customFormat="1" ht="12.95" customHeight="1" x14ac:dyDescent="0.2">
      <c r="A82" s="431"/>
      <c r="B82" s="413" t="str">
        <f>IF(Data!$F$27&lt;&gt;"",B81+1,"")</f>
        <v/>
      </c>
      <c r="C82" s="416">
        <v>66</v>
      </c>
      <c r="D82" s="174"/>
      <c r="E82" s="174"/>
      <c r="F82" s="174"/>
      <c r="G82" s="174"/>
      <c r="H82" s="175"/>
    </row>
    <row r="83" spans="1:8" s="176" customFormat="1" ht="12.95" customHeight="1" x14ac:dyDescent="0.2">
      <c r="A83" s="431"/>
      <c r="B83" s="413" t="str">
        <f>IF(Data!$F$27&lt;&gt;"",B82+1,"")</f>
        <v/>
      </c>
      <c r="C83" s="416">
        <v>67</v>
      </c>
      <c r="D83" s="174"/>
      <c r="E83" s="174"/>
      <c r="F83" s="174"/>
      <c r="G83" s="174"/>
      <c r="H83" s="175"/>
    </row>
    <row r="84" spans="1:8" s="176" customFormat="1" ht="12.95" customHeight="1" x14ac:dyDescent="0.2">
      <c r="A84" s="431"/>
      <c r="B84" s="413" t="str">
        <f>IF(Data!$F$27&lt;&gt;"",B83+1,"")</f>
        <v/>
      </c>
      <c r="C84" s="416">
        <v>68</v>
      </c>
      <c r="D84" s="174"/>
      <c r="E84" s="174"/>
      <c r="F84" s="174"/>
      <c r="G84" s="174"/>
      <c r="H84" s="175"/>
    </row>
    <row r="85" spans="1:8" s="176" customFormat="1" ht="12.95" customHeight="1" x14ac:dyDescent="0.2">
      <c r="A85" s="431"/>
      <c r="B85" s="413" t="str">
        <f>IF(Data!$F$27&lt;&gt;"",B84+1,"")</f>
        <v/>
      </c>
      <c r="C85" s="416">
        <v>69</v>
      </c>
      <c r="D85" s="174"/>
      <c r="E85" s="174"/>
      <c r="F85" s="174"/>
      <c r="G85" s="174"/>
      <c r="H85" s="175"/>
    </row>
    <row r="86" spans="1:8" s="176" customFormat="1" ht="12.95" customHeight="1" x14ac:dyDescent="0.2">
      <c r="A86" s="432">
        <v>10</v>
      </c>
      <c r="B86" s="414" t="str">
        <f>IF(Data!$F$27&lt;&gt;"",B85+1,"")</f>
        <v/>
      </c>
      <c r="C86" s="417">
        <v>70</v>
      </c>
      <c r="D86" s="177"/>
      <c r="E86" s="177"/>
      <c r="F86" s="177"/>
      <c r="G86" s="177"/>
      <c r="H86" s="178"/>
    </row>
    <row r="87" spans="1:8" s="176" customFormat="1" ht="12.95" customHeight="1" x14ac:dyDescent="0.2">
      <c r="A87" s="431"/>
      <c r="B87" s="413" t="str">
        <f>IF(Data!$F$27&lt;&gt;"",B86+1,"")</f>
        <v/>
      </c>
      <c r="C87" s="416">
        <v>71</v>
      </c>
      <c r="D87" s="174"/>
      <c r="E87" s="174"/>
      <c r="F87" s="174"/>
      <c r="G87" s="174"/>
      <c r="H87" s="175"/>
    </row>
    <row r="88" spans="1:8" s="176" customFormat="1" ht="12.95" customHeight="1" x14ac:dyDescent="0.2">
      <c r="A88" s="431"/>
      <c r="B88" s="413" t="str">
        <f>IF(Data!$F$27&lt;&gt;"",B87+1,"")</f>
        <v/>
      </c>
      <c r="C88" s="416">
        <v>72</v>
      </c>
      <c r="D88" s="174"/>
      <c r="E88" s="174"/>
      <c r="F88" s="174"/>
      <c r="G88" s="174"/>
      <c r="H88" s="175"/>
    </row>
    <row r="89" spans="1:8" s="176" customFormat="1" ht="12.95" customHeight="1" x14ac:dyDescent="0.2">
      <c r="A89" s="431"/>
      <c r="B89" s="413" t="str">
        <f>IF(Data!$F$27&lt;&gt;"",B88+1,"")</f>
        <v/>
      </c>
      <c r="C89" s="416">
        <v>73</v>
      </c>
      <c r="D89" s="174"/>
      <c r="E89" s="174"/>
      <c r="F89" s="174"/>
      <c r="G89" s="174"/>
      <c r="H89" s="175"/>
    </row>
    <row r="90" spans="1:8" s="176" customFormat="1" ht="12.95" customHeight="1" x14ac:dyDescent="0.2">
      <c r="A90" s="431"/>
      <c r="B90" s="413" t="str">
        <f>IF(Data!$F$27&lt;&gt;"",B89+1,"")</f>
        <v/>
      </c>
      <c r="C90" s="416">
        <v>74</v>
      </c>
      <c r="D90" s="174"/>
      <c r="E90" s="174"/>
      <c r="F90" s="174"/>
      <c r="G90" s="174"/>
      <c r="H90" s="175"/>
    </row>
    <row r="91" spans="1:8" s="176" customFormat="1" ht="12.95" customHeight="1" x14ac:dyDescent="0.2">
      <c r="A91" s="431"/>
      <c r="B91" s="413" t="str">
        <f>IF(Data!$F$27&lt;&gt;"",B90+1,"")</f>
        <v/>
      </c>
      <c r="C91" s="416">
        <v>75</v>
      </c>
      <c r="D91" s="174"/>
      <c r="E91" s="174"/>
      <c r="F91" s="174"/>
      <c r="G91" s="174"/>
      <c r="H91" s="175"/>
    </row>
    <row r="92" spans="1:8" s="176" customFormat="1" ht="12.95" customHeight="1" x14ac:dyDescent="0.2">
      <c r="A92" s="431"/>
      <c r="B92" s="413" t="str">
        <f>IF(Data!$F$27&lt;&gt;"",B91+1,"")</f>
        <v/>
      </c>
      <c r="C92" s="416">
        <v>76</v>
      </c>
      <c r="D92" s="174"/>
      <c r="E92" s="174"/>
      <c r="F92" s="174"/>
      <c r="G92" s="174"/>
      <c r="H92" s="175"/>
    </row>
    <row r="93" spans="1:8" s="176" customFormat="1" ht="12.95" customHeight="1" x14ac:dyDescent="0.2">
      <c r="A93" s="432">
        <v>11</v>
      </c>
      <c r="B93" s="414" t="str">
        <f>IF(Data!$F$27&lt;&gt;"",B92+1,"")</f>
        <v/>
      </c>
      <c r="C93" s="417">
        <v>77</v>
      </c>
      <c r="D93" s="177"/>
      <c r="E93" s="177"/>
      <c r="F93" s="177"/>
      <c r="G93" s="177"/>
      <c r="H93" s="178"/>
    </row>
    <row r="94" spans="1:8" s="176" customFormat="1" ht="12.95" customHeight="1" x14ac:dyDescent="0.2">
      <c r="A94" s="431"/>
      <c r="B94" s="413" t="str">
        <f>IF(Data!$F$27&lt;&gt;"",B93+1,"")</f>
        <v/>
      </c>
      <c r="C94" s="416">
        <v>78</v>
      </c>
      <c r="D94" s="174"/>
      <c r="E94" s="174"/>
      <c r="F94" s="174"/>
      <c r="G94" s="174"/>
      <c r="H94" s="175"/>
    </row>
    <row r="95" spans="1:8" s="176" customFormat="1" ht="12.95" customHeight="1" x14ac:dyDescent="0.2">
      <c r="A95" s="431"/>
      <c r="B95" s="413" t="str">
        <f>IF(Data!$F$27&lt;&gt;"",B94+1,"")</f>
        <v/>
      </c>
      <c r="C95" s="416">
        <v>79</v>
      </c>
      <c r="D95" s="174"/>
      <c r="E95" s="174"/>
      <c r="F95" s="174"/>
      <c r="G95" s="174"/>
      <c r="H95" s="175"/>
    </row>
    <row r="96" spans="1:8" s="176" customFormat="1" ht="12.95" customHeight="1" x14ac:dyDescent="0.2">
      <c r="A96" s="431"/>
      <c r="B96" s="413" t="str">
        <f>IF(Data!$F$27&lt;&gt;"",B95+1,"")</f>
        <v/>
      </c>
      <c r="C96" s="416">
        <v>80</v>
      </c>
      <c r="D96" s="174"/>
      <c r="E96" s="174"/>
      <c r="F96" s="174"/>
      <c r="G96" s="174"/>
      <c r="H96" s="175"/>
    </row>
    <row r="97" spans="1:8" s="176" customFormat="1" ht="12.95" customHeight="1" x14ac:dyDescent="0.2">
      <c r="A97" s="431"/>
      <c r="B97" s="413" t="str">
        <f>IF(Data!$F$27&lt;&gt;"",B96+1,"")</f>
        <v/>
      </c>
      <c r="C97" s="416">
        <v>81</v>
      </c>
      <c r="D97" s="174"/>
      <c r="E97" s="174"/>
      <c r="F97" s="174"/>
      <c r="G97" s="174"/>
      <c r="H97" s="175"/>
    </row>
    <row r="98" spans="1:8" s="176" customFormat="1" ht="12.95" customHeight="1" x14ac:dyDescent="0.2">
      <c r="A98" s="431"/>
      <c r="B98" s="413" t="str">
        <f>IF(Data!$F$27&lt;&gt;"",B97+1,"")</f>
        <v/>
      </c>
      <c r="C98" s="416">
        <v>82</v>
      </c>
      <c r="D98" s="174"/>
      <c r="E98" s="174"/>
      <c r="F98" s="174"/>
      <c r="G98" s="174"/>
      <c r="H98" s="175"/>
    </row>
    <row r="99" spans="1:8" s="176" customFormat="1" ht="12.95" customHeight="1" x14ac:dyDescent="0.2">
      <c r="A99" s="431"/>
      <c r="B99" s="413" t="str">
        <f>IF(Data!$F$27&lt;&gt;"",B98+1,"")</f>
        <v/>
      </c>
      <c r="C99" s="416">
        <v>83</v>
      </c>
      <c r="D99" s="174"/>
      <c r="E99" s="174"/>
      <c r="F99" s="174"/>
      <c r="G99" s="174"/>
      <c r="H99" s="175"/>
    </row>
    <row r="100" spans="1:8" s="176" customFormat="1" ht="12.95" customHeight="1" x14ac:dyDescent="0.2">
      <c r="A100" s="432">
        <v>12</v>
      </c>
      <c r="B100" s="414" t="str">
        <f>IF(Data!$F$27&lt;&gt;"",B99+1,"")</f>
        <v/>
      </c>
      <c r="C100" s="417">
        <v>84</v>
      </c>
      <c r="D100" s="177"/>
      <c r="E100" s="177"/>
      <c r="F100" s="177"/>
      <c r="G100" s="177"/>
      <c r="H100" s="178"/>
    </row>
    <row r="101" spans="1:8" s="176" customFormat="1" ht="12.95" customHeight="1" x14ac:dyDescent="0.2">
      <c r="A101" s="431"/>
      <c r="B101" s="413" t="str">
        <f>IF(Data!$F$27&lt;&gt;"",B100+1,"")</f>
        <v/>
      </c>
      <c r="C101" s="416">
        <v>85</v>
      </c>
      <c r="D101" s="174"/>
      <c r="E101" s="174"/>
      <c r="F101" s="174"/>
      <c r="G101" s="174"/>
      <c r="H101" s="175"/>
    </row>
    <row r="102" spans="1:8" s="176" customFormat="1" ht="12.95" customHeight="1" x14ac:dyDescent="0.2">
      <c r="A102" s="431"/>
      <c r="B102" s="413" t="str">
        <f>IF(Data!$F$27&lt;&gt;"",B101+1,"")</f>
        <v/>
      </c>
      <c r="C102" s="416">
        <v>86</v>
      </c>
      <c r="D102" s="174"/>
      <c r="E102" s="174"/>
      <c r="F102" s="174"/>
      <c r="G102" s="174"/>
      <c r="H102" s="175"/>
    </row>
    <row r="103" spans="1:8" s="176" customFormat="1" ht="12.95" customHeight="1" x14ac:dyDescent="0.2">
      <c r="A103" s="431"/>
      <c r="B103" s="413" t="str">
        <f>IF(Data!$F$27&lt;&gt;"",B102+1,"")</f>
        <v/>
      </c>
      <c r="C103" s="416">
        <v>87</v>
      </c>
      <c r="D103" s="174"/>
      <c r="E103" s="174"/>
      <c r="F103" s="174"/>
      <c r="G103" s="174"/>
      <c r="H103" s="175"/>
    </row>
    <row r="104" spans="1:8" s="176" customFormat="1" ht="12.95" customHeight="1" x14ac:dyDescent="0.2">
      <c r="A104" s="431"/>
      <c r="B104" s="413" t="str">
        <f>IF(Data!$F$27&lt;&gt;"",B103+1,"")</f>
        <v/>
      </c>
      <c r="C104" s="416">
        <v>88</v>
      </c>
      <c r="D104" s="174"/>
      <c r="E104" s="174"/>
      <c r="F104" s="174"/>
      <c r="G104" s="174"/>
      <c r="H104" s="175"/>
    </row>
    <row r="105" spans="1:8" s="176" customFormat="1" ht="12.95" customHeight="1" x14ac:dyDescent="0.2">
      <c r="A105" s="431"/>
      <c r="B105" s="413" t="str">
        <f>IF(Data!$F$27&lt;&gt;"",B104+1,"")</f>
        <v/>
      </c>
      <c r="C105" s="416">
        <v>89</v>
      </c>
      <c r="D105" s="174"/>
      <c r="E105" s="174"/>
      <c r="F105" s="174"/>
      <c r="G105" s="174"/>
      <c r="H105" s="175"/>
    </row>
    <row r="106" spans="1:8" s="176" customFormat="1" ht="12.95" customHeight="1" x14ac:dyDescent="0.2">
      <c r="A106" s="431"/>
      <c r="B106" s="413" t="str">
        <f>IF(Data!$F$27&lt;&gt;"",B105+1,"")</f>
        <v/>
      </c>
      <c r="C106" s="416">
        <v>90</v>
      </c>
      <c r="D106" s="174"/>
      <c r="E106" s="174"/>
      <c r="F106" s="174"/>
      <c r="G106" s="174"/>
      <c r="H106" s="175"/>
    </row>
    <row r="107" spans="1:8" s="176" customFormat="1" ht="12.95" customHeight="1" x14ac:dyDescent="0.2">
      <c r="A107" s="432">
        <v>13</v>
      </c>
      <c r="B107" s="414" t="str">
        <f>IF(Data!$F$27&lt;&gt;"",B106+1,"")</f>
        <v/>
      </c>
      <c r="C107" s="417">
        <v>91</v>
      </c>
      <c r="D107" s="177"/>
      <c r="E107" s="177"/>
      <c r="F107" s="177"/>
      <c r="G107" s="177"/>
      <c r="H107" s="178"/>
    </row>
    <row r="108" spans="1:8" s="176" customFormat="1" ht="12.95" customHeight="1" x14ac:dyDescent="0.2">
      <c r="A108" s="431"/>
      <c r="B108" s="413" t="str">
        <f>IF(Data!$F$27&lt;&gt;"",B107+1,"")</f>
        <v/>
      </c>
      <c r="C108" s="416">
        <v>92</v>
      </c>
      <c r="D108" s="174"/>
      <c r="E108" s="174"/>
      <c r="F108" s="174"/>
      <c r="G108" s="174"/>
      <c r="H108" s="175"/>
    </row>
    <row r="109" spans="1:8" s="176" customFormat="1" ht="12.95" customHeight="1" x14ac:dyDescent="0.2">
      <c r="A109" s="431"/>
      <c r="B109" s="413" t="str">
        <f>IF(Data!$F$27&lt;&gt;"",B108+1,"")</f>
        <v/>
      </c>
      <c r="C109" s="416">
        <v>93</v>
      </c>
      <c r="D109" s="174"/>
      <c r="E109" s="174"/>
      <c r="F109" s="174"/>
      <c r="G109" s="174"/>
      <c r="H109" s="175"/>
    </row>
    <row r="110" spans="1:8" s="176" customFormat="1" ht="12.95" customHeight="1" x14ac:dyDescent="0.2">
      <c r="A110" s="431"/>
      <c r="B110" s="413" t="str">
        <f>IF(Data!$F$27&lt;&gt;"",B109+1,"")</f>
        <v/>
      </c>
      <c r="C110" s="416">
        <v>94</v>
      </c>
      <c r="D110" s="174"/>
      <c r="E110" s="174"/>
      <c r="F110" s="174"/>
      <c r="G110" s="174"/>
      <c r="H110" s="175"/>
    </row>
    <row r="111" spans="1:8" s="176" customFormat="1" ht="12.95" customHeight="1" x14ac:dyDescent="0.2">
      <c r="A111" s="431"/>
      <c r="B111" s="413" t="str">
        <f>IF(Data!$F$27&lt;&gt;"",B110+1,"")</f>
        <v/>
      </c>
      <c r="C111" s="416">
        <v>95</v>
      </c>
      <c r="D111" s="174"/>
      <c r="E111" s="174"/>
      <c r="F111" s="174"/>
      <c r="G111" s="174"/>
      <c r="H111" s="175"/>
    </row>
    <row r="112" spans="1:8" s="176" customFormat="1" ht="12.95" customHeight="1" x14ac:dyDescent="0.2">
      <c r="A112" s="431"/>
      <c r="B112" s="413" t="str">
        <f>IF(Data!$F$27&lt;&gt;"",B111+1,"")</f>
        <v/>
      </c>
      <c r="C112" s="416">
        <v>96</v>
      </c>
      <c r="D112" s="174"/>
      <c r="E112" s="174"/>
      <c r="F112" s="174"/>
      <c r="G112" s="174"/>
      <c r="H112" s="175"/>
    </row>
    <row r="113" spans="1:8" s="176" customFormat="1" ht="12.95" customHeight="1" x14ac:dyDescent="0.2">
      <c r="A113" s="431"/>
      <c r="B113" s="413" t="str">
        <f>IF(Data!$F$27&lt;&gt;"",B112+1,"")</f>
        <v/>
      </c>
      <c r="C113" s="416">
        <v>97</v>
      </c>
      <c r="D113" s="174"/>
      <c r="E113" s="174"/>
      <c r="F113" s="174"/>
      <c r="G113" s="174"/>
      <c r="H113" s="175"/>
    </row>
    <row r="114" spans="1:8" s="176" customFormat="1" ht="12.95" customHeight="1" x14ac:dyDescent="0.2">
      <c r="A114" s="432">
        <f>C114/7</f>
        <v>14</v>
      </c>
      <c r="B114" s="414" t="str">
        <f>IF(Data!$F$27&lt;&gt;"",B113+1,"")</f>
        <v/>
      </c>
      <c r="C114" s="417">
        <v>98</v>
      </c>
      <c r="D114" s="177"/>
      <c r="E114" s="177"/>
      <c r="F114" s="177"/>
      <c r="G114" s="177"/>
      <c r="H114" s="178"/>
    </row>
    <row r="115" spans="1:8" s="176" customFormat="1" ht="12.95" customHeight="1" x14ac:dyDescent="0.2">
      <c r="A115" s="431"/>
      <c r="B115" s="413" t="str">
        <f>IF(Data!$F$27&lt;&gt;"",B114+1,"")</f>
        <v/>
      </c>
      <c r="C115" s="416">
        <v>99</v>
      </c>
      <c r="D115" s="174"/>
      <c r="E115" s="174"/>
      <c r="F115" s="174"/>
      <c r="G115" s="174"/>
      <c r="H115" s="175"/>
    </row>
    <row r="116" spans="1:8" s="176" customFormat="1" ht="12.95" customHeight="1" x14ac:dyDescent="0.2">
      <c r="A116" s="431"/>
      <c r="B116" s="413" t="str">
        <f>IF(Data!$F$27&lt;&gt;"",B115+1,"")</f>
        <v/>
      </c>
      <c r="C116" s="416">
        <v>100</v>
      </c>
      <c r="D116" s="174"/>
      <c r="E116" s="174"/>
      <c r="F116" s="174"/>
      <c r="G116" s="174"/>
      <c r="H116" s="175"/>
    </row>
    <row r="117" spans="1:8" s="176" customFormat="1" ht="12.95" customHeight="1" x14ac:dyDescent="0.2">
      <c r="A117" s="431"/>
      <c r="B117" s="413" t="str">
        <f>IF(Data!$F$27&lt;&gt;"",B116+1,"")</f>
        <v/>
      </c>
      <c r="C117" s="416">
        <v>101</v>
      </c>
      <c r="D117" s="174"/>
      <c r="E117" s="174"/>
      <c r="F117" s="174"/>
      <c r="G117" s="174"/>
      <c r="H117" s="175"/>
    </row>
    <row r="118" spans="1:8" s="176" customFormat="1" ht="12.95" customHeight="1" x14ac:dyDescent="0.2">
      <c r="A118" s="431"/>
      <c r="B118" s="413" t="str">
        <f>IF(Data!$F$27&lt;&gt;"",B117+1,"")</f>
        <v/>
      </c>
      <c r="C118" s="416">
        <v>102</v>
      </c>
      <c r="D118" s="174"/>
      <c r="E118" s="174"/>
      <c r="F118" s="174"/>
      <c r="G118" s="174"/>
      <c r="H118" s="175"/>
    </row>
    <row r="119" spans="1:8" s="176" customFormat="1" ht="12.95" customHeight="1" x14ac:dyDescent="0.2">
      <c r="A119" s="431"/>
      <c r="B119" s="413" t="str">
        <f>IF(Data!$F$27&lt;&gt;"",B118+1,"")</f>
        <v/>
      </c>
      <c r="C119" s="416">
        <v>103</v>
      </c>
      <c r="D119" s="174"/>
      <c r="E119" s="174"/>
      <c r="F119" s="174"/>
      <c r="G119" s="174"/>
      <c r="H119" s="175"/>
    </row>
    <row r="120" spans="1:8" s="176" customFormat="1" ht="12.95" customHeight="1" x14ac:dyDescent="0.2">
      <c r="A120" s="431"/>
      <c r="B120" s="413" t="str">
        <f>IF(Data!$F$27&lt;&gt;"",B119+1,"")</f>
        <v/>
      </c>
      <c r="C120" s="416">
        <v>104</v>
      </c>
      <c r="D120" s="174"/>
      <c r="E120" s="174"/>
      <c r="F120" s="174"/>
      <c r="G120" s="174"/>
      <c r="H120" s="175"/>
    </row>
    <row r="121" spans="1:8" s="176" customFormat="1" ht="12.95" customHeight="1" x14ac:dyDescent="0.2">
      <c r="A121" s="432">
        <f>C121/7</f>
        <v>15</v>
      </c>
      <c r="B121" s="414" t="str">
        <f>IF(Data!$F$27&lt;&gt;"",B120+1,"")</f>
        <v/>
      </c>
      <c r="C121" s="417">
        <v>105</v>
      </c>
      <c r="D121" s="177"/>
      <c r="E121" s="177"/>
      <c r="F121" s="177"/>
      <c r="G121" s="177"/>
      <c r="H121" s="178"/>
    </row>
    <row r="122" spans="1:8" s="176" customFormat="1" ht="12.95" customHeight="1" x14ac:dyDescent="0.2">
      <c r="A122" s="431"/>
      <c r="B122" s="413" t="str">
        <f>IF(Data!$F$27&lt;&gt;"",B121+1,"")</f>
        <v/>
      </c>
      <c r="C122" s="416">
        <v>106</v>
      </c>
      <c r="D122" s="174"/>
      <c r="E122" s="174"/>
      <c r="F122" s="174"/>
      <c r="G122" s="174"/>
      <c r="H122" s="175"/>
    </row>
    <row r="123" spans="1:8" s="176" customFormat="1" ht="12.95" customHeight="1" x14ac:dyDescent="0.2">
      <c r="A123" s="431"/>
      <c r="B123" s="413" t="str">
        <f>IF(Data!$F$27&lt;&gt;"",B122+1,"")</f>
        <v/>
      </c>
      <c r="C123" s="416">
        <v>107</v>
      </c>
      <c r="D123" s="174"/>
      <c r="E123" s="174"/>
      <c r="F123" s="174"/>
      <c r="G123" s="174"/>
      <c r="H123" s="175"/>
    </row>
    <row r="124" spans="1:8" s="176" customFormat="1" ht="12.95" customHeight="1" x14ac:dyDescent="0.2">
      <c r="A124" s="431"/>
      <c r="B124" s="413" t="str">
        <f>IF(Data!$F$27&lt;&gt;"",B123+1,"")</f>
        <v/>
      </c>
      <c r="C124" s="416">
        <v>108</v>
      </c>
      <c r="D124" s="174"/>
      <c r="E124" s="174"/>
      <c r="F124" s="174"/>
      <c r="G124" s="174"/>
      <c r="H124" s="175"/>
    </row>
    <row r="125" spans="1:8" s="176" customFormat="1" ht="12.95" customHeight="1" x14ac:dyDescent="0.2">
      <c r="A125" s="431"/>
      <c r="B125" s="413" t="str">
        <f>IF(Data!$F$27&lt;&gt;"",B124+1,"")</f>
        <v/>
      </c>
      <c r="C125" s="416">
        <v>109</v>
      </c>
      <c r="D125" s="174"/>
      <c r="E125" s="174"/>
      <c r="F125" s="174"/>
      <c r="G125" s="174"/>
      <c r="H125" s="175"/>
    </row>
    <row r="126" spans="1:8" s="176" customFormat="1" ht="12.95" customHeight="1" x14ac:dyDescent="0.2">
      <c r="A126" s="431"/>
      <c r="B126" s="413" t="str">
        <f>IF(Data!$F$27&lt;&gt;"",B125+1,"")</f>
        <v/>
      </c>
      <c r="C126" s="416">
        <v>110</v>
      </c>
      <c r="D126" s="174"/>
      <c r="E126" s="174"/>
      <c r="F126" s="174"/>
      <c r="G126" s="174"/>
      <c r="H126" s="175"/>
    </row>
    <row r="127" spans="1:8" s="176" customFormat="1" ht="12.95" customHeight="1" x14ac:dyDescent="0.2">
      <c r="A127" s="431"/>
      <c r="B127" s="413" t="str">
        <f>IF(Data!$F$27&lt;&gt;"",B126+1,"")</f>
        <v/>
      </c>
      <c r="C127" s="416">
        <v>111</v>
      </c>
      <c r="D127" s="174"/>
      <c r="E127" s="174"/>
      <c r="F127" s="174"/>
      <c r="G127" s="174"/>
      <c r="H127" s="175"/>
    </row>
    <row r="128" spans="1:8" s="176" customFormat="1" ht="12.95" customHeight="1" x14ac:dyDescent="0.2">
      <c r="A128" s="432">
        <f>C128/7</f>
        <v>16</v>
      </c>
      <c r="B128" s="414" t="str">
        <f>IF(Data!$F$27&lt;&gt;"",B127+1,"")</f>
        <v/>
      </c>
      <c r="C128" s="417">
        <v>112</v>
      </c>
      <c r="D128" s="177"/>
      <c r="E128" s="177"/>
      <c r="F128" s="177"/>
      <c r="G128" s="177"/>
      <c r="H128" s="178"/>
    </row>
    <row r="129" spans="1:8" s="176" customFormat="1" ht="12.95" customHeight="1" x14ac:dyDescent="0.2">
      <c r="A129" s="431"/>
      <c r="B129" s="413" t="str">
        <f>IF(Data!$F$27&lt;&gt;"",B128+1,"")</f>
        <v/>
      </c>
      <c r="C129" s="416">
        <v>113</v>
      </c>
      <c r="D129" s="174"/>
      <c r="E129" s="174"/>
      <c r="F129" s="174"/>
      <c r="G129" s="174"/>
      <c r="H129" s="175"/>
    </row>
    <row r="130" spans="1:8" s="176" customFormat="1" ht="12.95" customHeight="1" x14ac:dyDescent="0.2">
      <c r="A130" s="431"/>
      <c r="B130" s="413" t="str">
        <f>IF(Data!$F$27&lt;&gt;"",B129+1,"")</f>
        <v/>
      </c>
      <c r="C130" s="416">
        <v>114</v>
      </c>
      <c r="D130" s="174"/>
      <c r="E130" s="174"/>
      <c r="F130" s="174"/>
      <c r="G130" s="174"/>
      <c r="H130" s="175"/>
    </row>
    <row r="131" spans="1:8" s="176" customFormat="1" ht="12.95" customHeight="1" x14ac:dyDescent="0.2">
      <c r="A131" s="431"/>
      <c r="B131" s="413" t="str">
        <f>IF(Data!$F$27&lt;&gt;"",B130+1,"")</f>
        <v/>
      </c>
      <c r="C131" s="416">
        <v>115</v>
      </c>
      <c r="D131" s="174"/>
      <c r="E131" s="174"/>
      <c r="F131" s="174"/>
      <c r="G131" s="174"/>
      <c r="H131" s="175"/>
    </row>
    <row r="132" spans="1:8" s="176" customFormat="1" ht="12.95" customHeight="1" x14ac:dyDescent="0.2">
      <c r="A132" s="431"/>
      <c r="B132" s="413" t="str">
        <f>IF(Data!$F$27&lt;&gt;"",B131+1,"")</f>
        <v/>
      </c>
      <c r="C132" s="416">
        <v>116</v>
      </c>
      <c r="D132" s="174"/>
      <c r="E132" s="174"/>
      <c r="F132" s="174"/>
      <c r="G132" s="174"/>
      <c r="H132" s="175"/>
    </row>
    <row r="133" spans="1:8" s="176" customFormat="1" ht="12.95" customHeight="1" x14ac:dyDescent="0.2">
      <c r="A133" s="431"/>
      <c r="B133" s="413" t="str">
        <f>IF(Data!$F$27&lt;&gt;"",B132+1,"")</f>
        <v/>
      </c>
      <c r="C133" s="416">
        <v>117</v>
      </c>
      <c r="D133" s="174"/>
      <c r="E133" s="174"/>
      <c r="F133" s="174"/>
      <c r="G133" s="174"/>
      <c r="H133" s="175"/>
    </row>
    <row r="134" spans="1:8" s="176" customFormat="1" ht="12.95" customHeight="1" x14ac:dyDescent="0.2">
      <c r="A134" s="431"/>
      <c r="B134" s="413" t="str">
        <f>IF(Data!$F$27&lt;&gt;"",B133+1,"")</f>
        <v/>
      </c>
      <c r="C134" s="416">
        <v>118</v>
      </c>
      <c r="D134" s="174"/>
      <c r="E134" s="174"/>
      <c r="F134" s="174"/>
      <c r="G134" s="174"/>
      <c r="H134" s="175"/>
    </row>
    <row r="135" spans="1:8" s="176" customFormat="1" ht="12.95" customHeight="1" x14ac:dyDescent="0.2">
      <c r="A135" s="432">
        <f>C135/7</f>
        <v>17</v>
      </c>
      <c r="B135" s="414" t="str">
        <f>IF(Data!$F$27&lt;&gt;"",B134+1,"")</f>
        <v/>
      </c>
      <c r="C135" s="417">
        <v>119</v>
      </c>
      <c r="D135" s="177"/>
      <c r="E135" s="177"/>
      <c r="F135" s="177"/>
      <c r="G135" s="177"/>
      <c r="H135" s="178"/>
    </row>
    <row r="136" spans="1:8" s="176" customFormat="1" ht="12.95" customHeight="1" x14ac:dyDescent="0.2">
      <c r="A136" s="431"/>
      <c r="B136" s="413" t="str">
        <f>IF(Data!$F$27&lt;&gt;"",B135+1,"")</f>
        <v/>
      </c>
      <c r="C136" s="416">
        <v>120</v>
      </c>
      <c r="D136" s="174"/>
      <c r="E136" s="174"/>
      <c r="F136" s="174"/>
      <c r="G136" s="174"/>
      <c r="H136" s="175"/>
    </row>
    <row r="137" spans="1:8" s="176" customFormat="1" ht="12.95" customHeight="1" x14ac:dyDescent="0.2">
      <c r="A137" s="431"/>
      <c r="B137" s="413" t="str">
        <f>IF(Data!$F$27&lt;&gt;"",B136+1,"")</f>
        <v/>
      </c>
      <c r="C137" s="416">
        <v>121</v>
      </c>
      <c r="D137" s="174"/>
      <c r="E137" s="174"/>
      <c r="F137" s="174"/>
      <c r="G137" s="174"/>
      <c r="H137" s="175"/>
    </row>
    <row r="138" spans="1:8" s="176" customFormat="1" ht="12.95" customHeight="1" x14ac:dyDescent="0.2">
      <c r="A138" s="431"/>
      <c r="B138" s="413" t="str">
        <f>IF(Data!$F$27&lt;&gt;"",B137+1,"")</f>
        <v/>
      </c>
      <c r="C138" s="416">
        <v>122</v>
      </c>
      <c r="D138" s="174"/>
      <c r="E138" s="174"/>
      <c r="F138" s="174"/>
      <c r="G138" s="174"/>
      <c r="H138" s="175"/>
    </row>
    <row r="139" spans="1:8" s="176" customFormat="1" ht="12.95" customHeight="1" x14ac:dyDescent="0.2">
      <c r="A139" s="431"/>
      <c r="B139" s="413" t="str">
        <f>IF(Data!$F$27&lt;&gt;"",B138+1,"")</f>
        <v/>
      </c>
      <c r="C139" s="416">
        <v>123</v>
      </c>
      <c r="D139" s="174"/>
      <c r="E139" s="174"/>
      <c r="F139" s="174"/>
      <c r="G139" s="174"/>
      <c r="H139" s="175"/>
    </row>
    <row r="140" spans="1:8" s="176" customFormat="1" ht="12.95" customHeight="1" x14ac:dyDescent="0.2">
      <c r="A140" s="431"/>
      <c r="B140" s="413" t="str">
        <f>IF(Data!$F$27&lt;&gt;"",B139+1,"")</f>
        <v/>
      </c>
      <c r="C140" s="416">
        <v>124</v>
      </c>
      <c r="D140" s="174"/>
      <c r="E140" s="174"/>
      <c r="F140" s="174"/>
      <c r="G140" s="174"/>
      <c r="H140" s="175"/>
    </row>
    <row r="141" spans="1:8" s="176" customFormat="1" ht="12.95" customHeight="1" x14ac:dyDescent="0.2">
      <c r="A141" s="431"/>
      <c r="B141" s="413" t="str">
        <f>IF(Data!$F$27&lt;&gt;"",B140+1,"")</f>
        <v/>
      </c>
      <c r="C141" s="416">
        <v>125</v>
      </c>
      <c r="D141" s="174"/>
      <c r="E141" s="174"/>
      <c r="F141" s="174"/>
      <c r="G141" s="174"/>
      <c r="H141" s="175"/>
    </row>
    <row r="142" spans="1:8" s="176" customFormat="1" ht="12.95" customHeight="1" thickBot="1" x14ac:dyDescent="0.25">
      <c r="A142" s="433">
        <f>C142/7</f>
        <v>18</v>
      </c>
      <c r="B142" s="415" t="str">
        <f>IF(Data!$F$27&lt;&gt;"",B141+1,"")</f>
        <v/>
      </c>
      <c r="C142" s="418">
        <v>126</v>
      </c>
      <c r="D142" s="180"/>
      <c r="E142" s="180"/>
      <c r="F142" s="180"/>
      <c r="G142" s="180"/>
      <c r="H142" s="181"/>
    </row>
  </sheetData>
  <sheetProtection password="CECC" sheet="1" objects="1" scenarios="1"/>
  <mergeCells count="6">
    <mergeCell ref="B15:B16"/>
    <mergeCell ref="C14:G14"/>
    <mergeCell ref="F12:G12"/>
    <mergeCell ref="F11:G11"/>
    <mergeCell ref="A1:H1"/>
    <mergeCell ref="A8:H8"/>
  </mergeCells>
  <printOptions horizontalCentered="1"/>
  <pageMargins left="0.55118110236220474" right="0.55118110236220474" top="0.70866141732283472" bottom="0.31496062992125984" header="0.31496062992125984" footer="0.31496062992125984"/>
  <pageSetup paperSize="9" scale="38" orientation="portrait" r:id="rId1"/>
  <headerFooter scaleWithDoc="0" alignWithMargins="0">
    <oddHeader>&amp;L
&amp;G&amp;R&amp;G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T35"/>
  <sheetViews>
    <sheetView showGridLines="0" zoomScaleNormal="100" zoomScaleSheetLayoutView="100" workbookViewId="0">
      <selection activeCell="A8" sqref="A8:A10"/>
    </sheetView>
  </sheetViews>
  <sheetFormatPr baseColWidth="10" defaultRowHeight="12.75" x14ac:dyDescent="0.2"/>
  <cols>
    <col min="1" max="1" width="11.7109375" style="163" customWidth="1"/>
    <col min="2" max="2" width="16.28515625" style="163" customWidth="1"/>
    <col min="3" max="3" width="12.85546875" style="163" customWidth="1"/>
    <col min="4" max="4" width="9" style="163" customWidth="1"/>
    <col min="5" max="5" width="13.42578125" style="163" customWidth="1"/>
    <col min="6" max="6" width="10.140625" style="163" customWidth="1"/>
    <col min="7" max="7" width="14.5703125" style="163" customWidth="1"/>
    <col min="8" max="8" width="14.5703125" style="163" hidden="1" customWidth="1"/>
    <col min="9" max="9" width="14.42578125" style="163" hidden="1" customWidth="1"/>
    <col min="10" max="10" width="22" style="163" hidden="1" customWidth="1"/>
    <col min="11" max="11" width="7.28515625" style="163" hidden="1" customWidth="1"/>
    <col min="12" max="12" width="12.140625" style="163" customWidth="1"/>
    <col min="13" max="13" width="9.7109375" style="200" customWidth="1"/>
    <col min="14" max="14" width="9.42578125" style="200" customWidth="1"/>
    <col min="15" max="15" width="18" style="202" customWidth="1"/>
    <col min="16" max="16" width="11.42578125" style="202" customWidth="1"/>
    <col min="17" max="17" width="11.42578125" style="202"/>
    <col min="18" max="18" width="14.28515625" style="202" customWidth="1"/>
    <col min="19" max="19" width="11.42578125" style="202" customWidth="1"/>
    <col min="20" max="20" width="11.42578125" style="163" customWidth="1"/>
    <col min="21" max="16384" width="11.42578125" style="163"/>
  </cols>
  <sheetData>
    <row r="1" spans="1:20" ht="21" customHeight="1" x14ac:dyDescent="0.35">
      <c r="A1" s="176"/>
      <c r="B1" s="176"/>
      <c r="C1" s="465" t="str">
        <f>IF(Data!$C$15="","",VLOOKUP(Data!$C$15,Traduction!$A$2:$BR$13,3,FALSE))</f>
        <v>Période d'élevage</v>
      </c>
      <c r="D1" s="465"/>
      <c r="E1" s="465"/>
      <c r="F1" s="465"/>
      <c r="G1" s="465"/>
      <c r="H1" s="465"/>
      <c r="I1" s="465"/>
      <c r="J1" s="465"/>
      <c r="K1" s="465"/>
      <c r="L1" s="465"/>
      <c r="M1" s="465"/>
      <c r="N1" s="465"/>
      <c r="O1" s="465"/>
      <c r="P1" s="465"/>
      <c r="Q1" s="465"/>
      <c r="R1" s="465"/>
      <c r="S1" s="465"/>
      <c r="T1" s="465"/>
    </row>
    <row r="2" spans="1:20" ht="13.5" thickBot="1" x14ac:dyDescent="0.25">
      <c r="A2" s="176"/>
      <c r="B2" s="176"/>
      <c r="C2" s="182"/>
      <c r="D2" s="182"/>
      <c r="E2" s="182"/>
      <c r="F2" s="182"/>
      <c r="G2" s="182"/>
      <c r="H2" s="182"/>
      <c r="I2" s="182"/>
      <c r="J2" s="182"/>
      <c r="K2" s="182"/>
      <c r="L2" s="182"/>
      <c r="M2" s="182"/>
      <c r="N2" s="182"/>
      <c r="O2" s="182"/>
      <c r="P2" s="182"/>
      <c r="Q2" s="182"/>
      <c r="R2" s="182"/>
      <c r="S2" s="182"/>
      <c r="T2" s="182"/>
    </row>
    <row r="3" spans="1:20" ht="15" customHeight="1" x14ac:dyDescent="0.25">
      <c r="A3" s="176"/>
      <c r="B3" s="176"/>
      <c r="C3" s="115" t="str">
        <f>IF(Data!$C$15="","",VLOOKUP(Data!$C$15,Traduction!$A$2:$BR$13,4,FALSE))</f>
        <v>Pays</v>
      </c>
      <c r="D3" s="116"/>
      <c r="E3" s="116"/>
      <c r="F3" s="353" t="str">
        <f>IF(Data!F21&lt;&gt;"",Data!F21,"")</f>
        <v/>
      </c>
      <c r="G3" s="117"/>
      <c r="H3" s="118"/>
      <c r="I3" s="118"/>
      <c r="J3" s="118"/>
      <c r="K3" s="118"/>
      <c r="L3" s="118"/>
      <c r="M3" s="116" t="str">
        <f>IF(Data!$C$15="","",VLOOKUP(Data!$C$15,Traduction!$A$2:$BR$13,8,FALSE))</f>
        <v>Lignée</v>
      </c>
      <c r="N3" s="116"/>
      <c r="O3" s="116"/>
      <c r="P3" s="116"/>
      <c r="Q3" s="119"/>
      <c r="R3" s="356" t="str">
        <f>IF(Data!F25&lt;&gt;"",Data!F25,"")</f>
        <v/>
      </c>
      <c r="S3" s="118"/>
      <c r="T3" s="120"/>
    </row>
    <row r="4" spans="1:20" ht="15" customHeight="1" x14ac:dyDescent="0.25">
      <c r="A4" s="183"/>
      <c r="B4" s="183"/>
      <c r="C4" s="473" t="str">
        <f>IF(Data!$C$15="","",VLOOKUP(Data!$C$15,Traduction!$A$2:$BR$13,5,FALSE))</f>
        <v>Société</v>
      </c>
      <c r="D4" s="474"/>
      <c r="E4" s="474"/>
      <c r="F4" s="354" t="str">
        <f>IF(Data!F22&lt;&gt;"",Data!F22,"")</f>
        <v/>
      </c>
      <c r="G4" s="121"/>
      <c r="H4" s="122"/>
      <c r="I4" s="122"/>
      <c r="J4" s="122"/>
      <c r="K4" s="122"/>
      <c r="L4" s="122"/>
      <c r="M4" s="123" t="str">
        <f>IF(Data!$C$15="","",VLOOKUP(Data!$C$15,Traduction!$A$2:$BR$13,10,FALSE))</f>
        <v>Date d'éclosion</v>
      </c>
      <c r="N4" s="123"/>
      <c r="O4" s="123"/>
      <c r="P4" s="123"/>
      <c r="Q4" s="123"/>
      <c r="R4" s="357" t="str">
        <f>IF(Data!F27&lt;&gt;"",Data!F27,"")</f>
        <v/>
      </c>
      <c r="S4" s="122"/>
      <c r="T4" s="124"/>
    </row>
    <row r="5" spans="1:20" ht="15" customHeight="1" x14ac:dyDescent="0.25">
      <c r="A5" s="184"/>
      <c r="B5" s="176"/>
      <c r="C5" s="125" t="str">
        <f>IF(Data!$C$15="","",VLOOKUP(Data!$C$15,Traduction!$A$2:$BR$13,6,FALSE))</f>
        <v>Ferme</v>
      </c>
      <c r="D5" s="123"/>
      <c r="E5" s="123"/>
      <c r="F5" s="354" t="str">
        <f>IF(Data!F23&lt;&gt;"",Data!F23,"")</f>
        <v/>
      </c>
      <c r="G5" s="121"/>
      <c r="H5" s="122"/>
      <c r="I5" s="122"/>
      <c r="J5" s="122"/>
      <c r="K5" s="122"/>
      <c r="L5" s="122"/>
      <c r="M5" s="474" t="str">
        <f>IF(Data!$C$15="","",VLOOKUP(Data!$C$15,Traduction!$A$2:$BR$13,9,FALSE))</f>
        <v>Nombre</v>
      </c>
      <c r="N5" s="474"/>
      <c r="O5" s="474"/>
      <c r="P5" s="474"/>
      <c r="Q5" s="474"/>
      <c r="R5" s="349" t="str">
        <f>IF(Data!F26&lt;&gt;"",Data!F26,"")</f>
        <v/>
      </c>
      <c r="S5" s="122"/>
      <c r="T5" s="124"/>
    </row>
    <row r="6" spans="1:20" ht="16.5" customHeight="1" thickBot="1" x14ac:dyDescent="0.3">
      <c r="A6" s="176"/>
      <c r="B6" s="176"/>
      <c r="C6" s="126" t="str">
        <f>IF(Data!$C$15="","",VLOOKUP(Data!$C$15,Traduction!$A$2:$BR$13,7,FALSE))</f>
        <v>Poulailler</v>
      </c>
      <c r="D6" s="127"/>
      <c r="E6" s="127"/>
      <c r="F6" s="355" t="str">
        <f>IF(Data!F24&lt;&gt;"",Data!F24,"")</f>
        <v/>
      </c>
      <c r="G6" s="128"/>
      <c r="H6" s="129"/>
      <c r="I6" s="129"/>
      <c r="J6" s="129"/>
      <c r="K6" s="129"/>
      <c r="L6" s="129"/>
      <c r="M6" s="127" t="str">
        <f>IF(Data!$C$15="","",VLOOKUP(Data!$C$15,Traduction!$A$2:$BR$13,15,FALSE))</f>
        <v>Date du transfert</v>
      </c>
      <c r="N6" s="127"/>
      <c r="O6" s="127"/>
      <c r="P6" s="127"/>
      <c r="Q6" s="127"/>
      <c r="R6" s="358" t="str">
        <f>IF(Data!F38&lt;&gt;"",Data!F38,"")</f>
        <v/>
      </c>
      <c r="S6" s="129"/>
      <c r="T6" s="130"/>
    </row>
    <row r="7" spans="1:20" ht="8.25" customHeight="1" thickBot="1" x14ac:dyDescent="0.25">
      <c r="A7" s="176"/>
      <c r="B7" s="176"/>
      <c r="C7" s="176"/>
      <c r="D7" s="176"/>
      <c r="E7" s="176"/>
      <c r="F7" s="176"/>
      <c r="G7" s="176"/>
      <c r="H7" s="176"/>
      <c r="I7" s="176"/>
      <c r="J7" s="176"/>
      <c r="K7" s="176"/>
      <c r="L7" s="176"/>
      <c r="M7" s="185"/>
      <c r="N7" s="185"/>
      <c r="O7" s="186"/>
      <c r="P7" s="186"/>
      <c r="Q7" s="176"/>
      <c r="R7" s="176"/>
      <c r="S7" s="176"/>
      <c r="T7" s="176"/>
    </row>
    <row r="8" spans="1:20" ht="15" customHeight="1" x14ac:dyDescent="0.2">
      <c r="A8" s="467" t="str">
        <f>IF(Data!$C$15="","",VLOOKUP(Data!$C$15,Traduction!$A$2:$BR$13,18,FALSE))</f>
        <v>Age</v>
      </c>
      <c r="B8" s="467" t="str">
        <f>IF(Data!$C$15="","",VLOOKUP(Data!$C$15,Traduction!$A$2:$BR$13,25,FALSE))</f>
        <v>Date début de semaine</v>
      </c>
      <c r="C8" s="470" t="str">
        <f>IF(Data!$C$15="","",VLOOKUP(Data!$C$15,Traduction!$A$2:$BR$13,19,FALSE))</f>
        <v>Mortalité</v>
      </c>
      <c r="D8" s="471"/>
      <c r="E8" s="471"/>
      <c r="F8" s="471"/>
      <c r="G8" s="472"/>
      <c r="H8" s="470" t="str">
        <f>IF(Data!$C$15="","",VLOOKUP(Data!$C$15,Traduction!$A$2:$BR$13,20,FALSE))</f>
        <v>Poids corporel</v>
      </c>
      <c r="I8" s="471"/>
      <c r="J8" s="471"/>
      <c r="K8" s="471"/>
      <c r="L8" s="471"/>
      <c r="M8" s="471"/>
      <c r="N8" s="471"/>
      <c r="O8" s="472"/>
      <c r="P8" s="470" t="str">
        <f>IF(Data!$C$15="","",VLOOKUP(Data!$C$15,Traduction!$A$2:$BR$13,27,FALSE))</f>
        <v>Consommation d'aliment</v>
      </c>
      <c r="Q8" s="471"/>
      <c r="R8" s="471"/>
      <c r="S8" s="471"/>
      <c r="T8" s="472"/>
    </row>
    <row r="9" spans="1:20" ht="15" customHeight="1" x14ac:dyDescent="0.2">
      <c r="A9" s="468"/>
      <c r="B9" s="468"/>
      <c r="C9" s="187"/>
      <c r="D9" s="188"/>
      <c r="E9" s="188"/>
      <c r="F9" s="188"/>
      <c r="G9" s="189"/>
      <c r="H9" s="187"/>
      <c r="I9" s="188"/>
      <c r="J9" s="188"/>
      <c r="K9" s="188"/>
      <c r="L9" s="188"/>
      <c r="M9" s="188"/>
      <c r="N9" s="188"/>
      <c r="O9" s="189"/>
      <c r="P9" s="187"/>
      <c r="Q9" s="188"/>
      <c r="R9" s="475" t="s">
        <v>277</v>
      </c>
      <c r="S9" s="476"/>
      <c r="T9" s="477"/>
    </row>
    <row r="10" spans="1:20" ht="12" customHeight="1" thickBot="1" x14ac:dyDescent="0.25">
      <c r="A10" s="469"/>
      <c r="B10" s="469"/>
      <c r="C10" s="190" t="str">
        <f>IF(Data!$C$15="","",VLOOKUP(Data!$C$15,Traduction!$A$2:$BR$13,28,FALSE))</f>
        <v>Semaine</v>
      </c>
      <c r="D10" s="191" t="str">
        <f>IF(Data!$C$15="","",VLOOKUP(Data!$C$15,Traduction!$A$2:$BR$13,29,FALSE))</f>
        <v>en %</v>
      </c>
      <c r="E10" s="192" t="str">
        <f>IF(Data!$C$15="","",VLOOKUP(Data!$C$15,Traduction!$A$2:$BR$13,30,FALSE))</f>
        <v>Cumul</v>
      </c>
      <c r="F10" s="193" t="str">
        <f>IF(Data!$C$15="","",VLOOKUP(Data!$C$15,Traduction!$A$2:$BR$13,29,FALSE))</f>
        <v>en %</v>
      </c>
      <c r="G10" s="194" t="str">
        <f>IF(Data!$C$15="","",VLOOKUP(Data!$C$15,Traduction!$A$2:$BR$13,9,FALSE))</f>
        <v>Nombre</v>
      </c>
      <c r="H10" s="195" t="s">
        <v>93</v>
      </c>
      <c r="I10" s="192" t="s">
        <v>63</v>
      </c>
      <c r="J10" s="192" t="s">
        <v>93</v>
      </c>
      <c r="K10" s="192" t="s">
        <v>63</v>
      </c>
      <c r="L10" s="192" t="str">
        <f>IF(Data!$C$15="","",VLOOKUP(Data!$C$15,Traduction!$A$2:$BR$13,53,FALSE))</f>
        <v>Réel</v>
      </c>
      <c r="M10" s="402" t="str">
        <f>IF(Data!$C$15="","",VLOOKUP(Data!$C$15,Traduction!$A$2:$BR$13,35,FALSE))</f>
        <v>Min.</v>
      </c>
      <c r="N10" s="402" t="str">
        <f>IF(Data!$C$15="","",VLOOKUP(Data!$C$15,Traduction!$A$2:$BR$13,36,FALSE))</f>
        <v>Max.</v>
      </c>
      <c r="O10" s="194" t="str">
        <f>IF(Data!$C$15="","",VLOOKUP(Data!$C$15,Traduction!$A$2:$BR$13,21,FALSE))</f>
        <v>Homogénéité</v>
      </c>
      <c r="P10" s="195" t="str">
        <f>IF(Data!$C$15="","",VLOOKUP(Data!$C$15,Traduction!$A$2:$BR$13,28,FALSE))</f>
        <v>Semaine</v>
      </c>
      <c r="Q10" s="192" t="str">
        <f>IF(Data!$C$15="","",VLOOKUP(Data!$C$15,Traduction!$A$2:$BR$13,30,FALSE))</f>
        <v>Cumul</v>
      </c>
      <c r="R10" s="196" t="str">
        <f>IF(Data!$C$15="","",VLOOKUP(Data!$C$15,Traduction!$A$2:$BR$13,54,FALSE))</f>
        <v>Jour</v>
      </c>
      <c r="S10" s="196" t="str">
        <f>IF(Data!$C$15="","",VLOOKUP(Data!$C$15,Traduction!$A$2:$BR$13,33,FALSE))</f>
        <v>Norme</v>
      </c>
      <c r="T10" s="194" t="str">
        <f>IF(Data!$C$15="","",VLOOKUP(Data!$C$15,Traduction!$A$2:$BR$13,30,FALSE))</f>
        <v>Cumul</v>
      </c>
    </row>
    <row r="11" spans="1:20" ht="16.5" customHeight="1" x14ac:dyDescent="0.2">
      <c r="A11" s="197">
        <v>1</v>
      </c>
      <c r="B11" s="409" t="str">
        <f>IF(R4="","-",R4)</f>
        <v>-</v>
      </c>
      <c r="C11" s="33">
        <f>SUM('Growing data-Input'!D17:D23)</f>
        <v>0</v>
      </c>
      <c r="D11" s="34">
        <f>IF(C11&lt;&gt;0,C11/R$5,0)</f>
        <v>0</v>
      </c>
      <c r="E11" s="35">
        <f>IF(C11&lt;&gt;0,C11,0)</f>
        <v>0</v>
      </c>
      <c r="F11" s="34" t="str">
        <f t="shared" ref="F11:F28" si="0">IF($R$5="","",IF(C11&lt;&gt;"-",E11/$R$5,""))</f>
        <v/>
      </c>
      <c r="G11" s="36">
        <f>IF(R5="",0,IF(E11=0,$R$5,$R$5-C11))</f>
        <v>0</v>
      </c>
      <c r="H11" s="37" t="str">
        <f>IF('Growing data-Input'!E20&lt;&gt;"",'Growing data-Input'!C20,IF('Growing data-Input'!E21&lt;&gt;"",'Growing data-Input'!C21,IF('Growing data-Input'!E22&lt;&gt;"",'Growing data-Input'!C22,IF('Growing data-Input'!E23,'Growing data-Input'!C23,IF('Growing data-Input'!E24&lt;&gt;"",'Growing data-Input'!C24,IF('Growing data-Input'!E25&lt;&gt;"",'Growing data-Input'!C25,IF('Growing data-Input'!E26&lt;&gt;"",'Growing data-Input'!C26,"-")))))))</f>
        <v>-</v>
      </c>
      <c r="I11" s="38" t="str">
        <f>IF(H11&lt;&gt;"-",VLOOKUP(H11,'Growing data-Input'!$C$17:$E$142,3,FALSE),"-")</f>
        <v>-</v>
      </c>
      <c r="J11" s="38">
        <v>7</v>
      </c>
      <c r="K11" s="39">
        <v>6.2243212812358051</v>
      </c>
      <c r="L11" s="40" t="str">
        <f>IF(I11="-","",I11+(J11-H11)*K11)</f>
        <v/>
      </c>
      <c r="M11" s="403" t="str">
        <f>'DG Rearing'!S7</f>
        <v/>
      </c>
      <c r="N11" s="403" t="str">
        <f>'DG Rearing'!T7</f>
        <v/>
      </c>
      <c r="O11" s="79" t="str">
        <f>IF(H11="-","-",VLOOKUP(H11,'Growing data-Input'!$C$17:$F$142,4,FALSE))</f>
        <v>-</v>
      </c>
      <c r="P11" s="33">
        <f>SUM('Growing data-Input'!G17:G23)</f>
        <v>0</v>
      </c>
      <c r="Q11" s="35" t="str">
        <f>IF(P11=0,"",P11)</f>
        <v/>
      </c>
      <c r="R11" s="35">
        <f>IF(G11=0,0,P11/G11/7*1000)</f>
        <v>0</v>
      </c>
      <c r="S11" s="406" t="str">
        <f>Standard!O9</f>
        <v/>
      </c>
      <c r="T11" s="36" t="str">
        <f>IF(G11=0,"",R11*7)</f>
        <v/>
      </c>
    </row>
    <row r="12" spans="1:20" ht="16.5" customHeight="1" x14ac:dyDescent="0.2">
      <c r="A12" s="198">
        <v>2</v>
      </c>
      <c r="B12" s="410" t="str">
        <f t="shared" ref="B12:B28" si="1">IF($R$4="","-",B11+7)</f>
        <v>-</v>
      </c>
      <c r="C12" s="41">
        <f>SUM('Growing data-Input'!D24:D30)</f>
        <v>0</v>
      </c>
      <c r="D12" s="42">
        <f t="shared" ref="D12:D28" si="2">IF(C12&lt;&gt;0,C12/R$5,0)</f>
        <v>0</v>
      </c>
      <c r="E12" s="43">
        <f>IF(C12&lt;&gt;0,C12+E11,0)</f>
        <v>0</v>
      </c>
      <c r="F12" s="42" t="str">
        <f t="shared" si="0"/>
        <v/>
      </c>
      <c r="G12" s="44">
        <f>IF(C12=0,0,$R$5-E12)</f>
        <v>0</v>
      </c>
      <c r="H12" s="45" t="str">
        <f>IF('Growing data-Input'!E27&lt;&gt;"",'Growing data-Input'!C27,IF('Growing data-Input'!E28&lt;&gt;"",'Growing data-Input'!C28,IF('Growing data-Input'!E29&lt;&gt;"",'Growing data-Input'!C29,IF('Growing data-Input'!E30,'Growing data-Input'!C30,IF('Growing data-Input'!E31&lt;&gt;"",'Growing data-Input'!C31,IF('Growing data-Input'!E32&lt;&gt;"",'Growing data-Input'!C32,IF('Growing data-Input'!E33&lt;&gt;"",'Growing data-Input'!C33,"-")))))))</f>
        <v>-</v>
      </c>
      <c r="I12" s="46" t="str">
        <f>IF(H12="-","-",VLOOKUP(H12,'Growing data-Input'!$C$17:$E$142,3,FALSE))</f>
        <v>-</v>
      </c>
      <c r="J12" s="46">
        <v>14</v>
      </c>
      <c r="K12" s="47">
        <v>8.8318072233751312</v>
      </c>
      <c r="L12" s="48" t="str">
        <f>IF(I12="-","",I12+(J12-H12)*K12)</f>
        <v/>
      </c>
      <c r="M12" s="404" t="str">
        <f>'DG Rearing'!S8</f>
        <v/>
      </c>
      <c r="N12" s="404" t="str">
        <f>'DG Rearing'!T8</f>
        <v/>
      </c>
      <c r="O12" s="80" t="str">
        <f>IF(H12="-","-",VLOOKUP(H12,'Growing data-Input'!$C$17:$F$142,4,FALSE))</f>
        <v>-</v>
      </c>
      <c r="P12" s="41">
        <f>SUM('Growing data-Input'!G24:G30)</f>
        <v>0</v>
      </c>
      <c r="Q12" s="43" t="str">
        <f>IF(P12&lt;&gt;0,P12+Q11,"")</f>
        <v/>
      </c>
      <c r="R12" s="43">
        <f t="shared" ref="R12" si="3">IF(G12=0,0,P12/G12/7*1000)</f>
        <v>0</v>
      </c>
      <c r="S12" s="407" t="str">
        <f>Standard!O10</f>
        <v/>
      </c>
      <c r="T12" s="44" t="str">
        <f t="shared" ref="T12:T28" si="4">IF(G12=0,"",R12*7)</f>
        <v/>
      </c>
    </row>
    <row r="13" spans="1:20" ht="16.5" customHeight="1" x14ac:dyDescent="0.2">
      <c r="A13" s="198">
        <v>3</v>
      </c>
      <c r="B13" s="410" t="str">
        <f t="shared" si="1"/>
        <v>-</v>
      </c>
      <c r="C13" s="41">
        <f>SUM('Growing data-Input'!D31:D37)</f>
        <v>0</v>
      </c>
      <c r="D13" s="42">
        <f t="shared" si="2"/>
        <v>0</v>
      </c>
      <c r="E13" s="43">
        <f t="shared" ref="E13:E28" si="5">IF(C13&lt;&gt;0,C13+E12,0)</f>
        <v>0</v>
      </c>
      <c r="F13" s="42" t="str">
        <f t="shared" si="0"/>
        <v/>
      </c>
      <c r="G13" s="44">
        <f t="shared" ref="G13:G28" si="6">IF(C13=0,0,$R$5-E13)</f>
        <v>0</v>
      </c>
      <c r="H13" s="45" t="str">
        <f>IF('Growing data-Input'!E34&lt;&gt;"",'Growing data-Input'!C34,IF('Growing data-Input'!E35&lt;&gt;"",'Growing data-Input'!C35,IF('Growing data-Input'!E36&lt;&gt;"",'Growing data-Input'!C36,IF('Growing data-Input'!E37,'Growing data-Input'!C37,IF('Growing data-Input'!E38&lt;&gt;"",'Growing data-Input'!C38,IF('Growing data-Input'!E39&lt;&gt;"",'Growing data-Input'!C39,IF('Growing data-Input'!E40&lt;&gt;"",'Growing data-Input'!C40,"-")))))))</f>
        <v>-</v>
      </c>
      <c r="I13" s="46" t="str">
        <f>IF(H13="-","-",VLOOKUP(H13,'Growing data-Input'!$C$17:$E$142,3,FALSE))</f>
        <v>-</v>
      </c>
      <c r="J13" s="46">
        <v>21</v>
      </c>
      <c r="K13" s="47">
        <v>12.406586337598396</v>
      </c>
      <c r="L13" s="48" t="str">
        <f t="shared" ref="L13:L28" si="7">IF(I13="-","",I13+(J13-H13)*K13)</f>
        <v/>
      </c>
      <c r="M13" s="404" t="str">
        <f>'DG Rearing'!S9</f>
        <v/>
      </c>
      <c r="N13" s="404" t="str">
        <f>'DG Rearing'!T9</f>
        <v/>
      </c>
      <c r="O13" s="80" t="str">
        <f>IF(H13="-","-",VLOOKUP(H13,'Growing data-Input'!$C$17:$F$142,4,FALSE))</f>
        <v>-</v>
      </c>
      <c r="P13" s="41">
        <f>SUM('Growing data-Input'!G31:G37)</f>
        <v>0</v>
      </c>
      <c r="Q13" s="43" t="str">
        <f t="shared" ref="Q13:Q28" si="8">IF(P13&lt;&gt;0,P13+Q12,"")</f>
        <v/>
      </c>
      <c r="R13" s="43">
        <f>IF(G13=0,0,P13/G13/7*1000)</f>
        <v>0</v>
      </c>
      <c r="S13" s="407" t="str">
        <f>Standard!O11</f>
        <v/>
      </c>
      <c r="T13" s="44" t="str">
        <f t="shared" si="4"/>
        <v/>
      </c>
    </row>
    <row r="14" spans="1:20" ht="16.5" customHeight="1" x14ac:dyDescent="0.2">
      <c r="A14" s="198">
        <v>4</v>
      </c>
      <c r="B14" s="410" t="str">
        <f t="shared" si="1"/>
        <v>-</v>
      </c>
      <c r="C14" s="41">
        <f>SUM('Growing data-Input'!D38:D44)</f>
        <v>0</v>
      </c>
      <c r="D14" s="42">
        <f t="shared" si="2"/>
        <v>0</v>
      </c>
      <c r="E14" s="43">
        <f t="shared" si="5"/>
        <v>0</v>
      </c>
      <c r="F14" s="42" t="str">
        <f t="shared" si="0"/>
        <v/>
      </c>
      <c r="G14" s="44">
        <f t="shared" si="6"/>
        <v>0</v>
      </c>
      <c r="H14" s="45" t="str">
        <f>IF('Growing data-Input'!E41&lt;&gt;"",'Growing data-Input'!C41,IF('Growing data-Input'!E42&lt;&gt;"",'Growing data-Input'!C42,IF('Growing data-Input'!E43&lt;&gt;"",'Growing data-Input'!C43,IF('Growing data-Input'!E44,'Growing data-Input'!C44,IF('Growing data-Input'!E45&lt;&gt;"",'Growing data-Input'!C45,IF('Growing data-Input'!E46&lt;&gt;"",'Growing data-Input'!C46,IF('Growing data-Input'!E47&lt;&gt;"",'Growing data-Input'!C47,"-")))))))</f>
        <v>-</v>
      </c>
      <c r="I14" s="46" t="str">
        <f>IF(H14="-","-",VLOOKUP(H14,'Growing data-Input'!$C$17:$E$142,3,FALSE))</f>
        <v>-</v>
      </c>
      <c r="J14" s="46">
        <v>28</v>
      </c>
      <c r="K14" s="47">
        <v>13.878554208160921</v>
      </c>
      <c r="L14" s="48" t="str">
        <f t="shared" si="7"/>
        <v/>
      </c>
      <c r="M14" s="404" t="str">
        <f>'DG Rearing'!S10</f>
        <v/>
      </c>
      <c r="N14" s="404" t="str">
        <f>'DG Rearing'!T10</f>
        <v/>
      </c>
      <c r="O14" s="80" t="str">
        <f>IF(H14="-","-",VLOOKUP(H14,'Growing data-Input'!$C$17:$F$142,4,FALSE))</f>
        <v>-</v>
      </c>
      <c r="P14" s="41">
        <f>SUM('Growing data-Input'!G38:G44)</f>
        <v>0</v>
      </c>
      <c r="Q14" s="43" t="str">
        <f t="shared" si="8"/>
        <v/>
      </c>
      <c r="R14" s="43">
        <f t="shared" ref="R14:R28" si="9">IF(G14=0,0,P14/G14/7*1000)</f>
        <v>0</v>
      </c>
      <c r="S14" s="407" t="str">
        <f>Standard!O12</f>
        <v/>
      </c>
      <c r="T14" s="44" t="str">
        <f t="shared" si="4"/>
        <v/>
      </c>
    </row>
    <row r="15" spans="1:20" ht="16.5" customHeight="1" x14ac:dyDescent="0.2">
      <c r="A15" s="198">
        <v>5</v>
      </c>
      <c r="B15" s="410" t="str">
        <f t="shared" si="1"/>
        <v>-</v>
      </c>
      <c r="C15" s="41">
        <f>SUM('Growing data-Input'!D45:D51)</f>
        <v>0</v>
      </c>
      <c r="D15" s="42">
        <f t="shared" si="2"/>
        <v>0</v>
      </c>
      <c r="E15" s="43">
        <f t="shared" si="5"/>
        <v>0</v>
      </c>
      <c r="F15" s="42" t="str">
        <f t="shared" si="0"/>
        <v/>
      </c>
      <c r="G15" s="44">
        <f t="shared" si="6"/>
        <v>0</v>
      </c>
      <c r="H15" s="45" t="str">
        <f>IF('Growing data-Input'!E48&lt;&gt;"",'Growing data-Input'!C48,IF('Growing data-Input'!E49&lt;&gt;"",'Growing data-Input'!C49,IF('Growing data-Input'!E50&lt;&gt;"",'Growing data-Input'!C50,IF('Growing data-Input'!E51,'Growing data-Input'!C51,IF('Growing data-Input'!E52&lt;&gt;"",'Growing data-Input'!C52,IF('Growing data-Input'!E53&lt;&gt;"",'Growing data-Input'!C53,IF('Growing data-Input'!E54&lt;&gt;"",'Growing data-Input'!C54,"-")))))))</f>
        <v>-</v>
      </c>
      <c r="I15" s="46" t="str">
        <f>IF(H15="-","-",VLOOKUP(H15,'Growing data-Input'!$C$17:$E$142,3,FALSE))</f>
        <v>-</v>
      </c>
      <c r="J15" s="46">
        <v>35</v>
      </c>
      <c r="K15" s="47">
        <v>14.404257019076081</v>
      </c>
      <c r="L15" s="48" t="str">
        <f>IF(I15="-","",I15+(J15-H15)*K15)</f>
        <v/>
      </c>
      <c r="M15" s="404" t="str">
        <f>'DG Rearing'!S11</f>
        <v/>
      </c>
      <c r="N15" s="404" t="str">
        <f>'DG Rearing'!T11</f>
        <v/>
      </c>
      <c r="O15" s="80" t="str">
        <f>IF(H15="-","-",VLOOKUP(H15,'Growing data-Input'!$C$17:$F$142,4,FALSE))</f>
        <v>-</v>
      </c>
      <c r="P15" s="41">
        <f>SUM('Growing data-Input'!G45:G51)</f>
        <v>0</v>
      </c>
      <c r="Q15" s="43" t="str">
        <f t="shared" si="8"/>
        <v/>
      </c>
      <c r="R15" s="43">
        <f t="shared" si="9"/>
        <v>0</v>
      </c>
      <c r="S15" s="407" t="str">
        <f>Standard!O13</f>
        <v/>
      </c>
      <c r="T15" s="44" t="str">
        <f t="shared" si="4"/>
        <v/>
      </c>
    </row>
    <row r="16" spans="1:20" ht="16.5" customHeight="1" x14ac:dyDescent="0.2">
      <c r="A16" s="198">
        <v>6</v>
      </c>
      <c r="B16" s="410" t="str">
        <f t="shared" si="1"/>
        <v>-</v>
      </c>
      <c r="C16" s="41">
        <f>SUM('Growing data-Input'!D52:D58)</f>
        <v>0</v>
      </c>
      <c r="D16" s="42">
        <f t="shared" si="2"/>
        <v>0</v>
      </c>
      <c r="E16" s="43">
        <f t="shared" si="5"/>
        <v>0</v>
      </c>
      <c r="F16" s="42" t="str">
        <f t="shared" si="0"/>
        <v/>
      </c>
      <c r="G16" s="44">
        <f t="shared" si="6"/>
        <v>0</v>
      </c>
      <c r="H16" s="45" t="str">
        <f>IF('Growing data-Input'!E55&lt;&gt;"",'Growing data-Input'!C55,IF('Growing data-Input'!E56&lt;&gt;"",'Growing data-Input'!C56,IF('Growing data-Input'!E57&lt;&gt;"",'Growing data-Input'!C57,IF('Growing data-Input'!E58,'Growing data-Input'!C58,IF('Growing data-Input'!E59&lt;&gt;"",'Growing data-Input'!C59,IF('Growing data-Input'!E60&lt;&gt;"",'Growing data-Input'!C60,IF('Growing data-Input'!E61&lt;&gt;"",'Growing data-Input'!C61,"-")))))))</f>
        <v>-</v>
      </c>
      <c r="I16" s="46" t="str">
        <f>IF(H16="-","-",VLOOKUP(H16,'Growing data-Input'!$C$17:$E$142,3,FALSE))</f>
        <v>-</v>
      </c>
      <c r="J16" s="46">
        <v>42</v>
      </c>
      <c r="K16" s="47">
        <v>13.983694770343968</v>
      </c>
      <c r="L16" s="48" t="str">
        <f t="shared" si="7"/>
        <v/>
      </c>
      <c r="M16" s="404" t="str">
        <f>'DG Rearing'!S12</f>
        <v/>
      </c>
      <c r="N16" s="404" t="str">
        <f>'DG Rearing'!T12</f>
        <v/>
      </c>
      <c r="O16" s="80" t="str">
        <f>IF(H16="-","-",VLOOKUP(H16,'Growing data-Input'!$C$17:$F$142,4,FALSE))</f>
        <v>-</v>
      </c>
      <c r="P16" s="41">
        <f>SUM('Growing data-Input'!G52:G58)</f>
        <v>0</v>
      </c>
      <c r="Q16" s="43" t="str">
        <f t="shared" si="8"/>
        <v/>
      </c>
      <c r="R16" s="43">
        <f t="shared" si="9"/>
        <v>0</v>
      </c>
      <c r="S16" s="407" t="str">
        <f>Standard!O14</f>
        <v/>
      </c>
      <c r="T16" s="44" t="str">
        <f t="shared" si="4"/>
        <v/>
      </c>
    </row>
    <row r="17" spans="1:20" ht="16.5" customHeight="1" x14ac:dyDescent="0.2">
      <c r="A17" s="198">
        <v>7</v>
      </c>
      <c r="B17" s="410" t="str">
        <f t="shared" si="1"/>
        <v>-</v>
      </c>
      <c r="C17" s="41">
        <f>SUM('Growing data-Input'!D59:D65)</f>
        <v>0</v>
      </c>
      <c r="D17" s="42">
        <f t="shared" si="2"/>
        <v>0</v>
      </c>
      <c r="E17" s="43">
        <f t="shared" si="5"/>
        <v>0</v>
      </c>
      <c r="F17" s="42" t="str">
        <f t="shared" si="0"/>
        <v/>
      </c>
      <c r="G17" s="44">
        <f t="shared" si="6"/>
        <v>0</v>
      </c>
      <c r="H17" s="45" t="str">
        <f>IF('Growing data-Input'!E62&lt;&gt;"",'Growing data-Input'!C62,IF('Growing data-Input'!E63&lt;&gt;"",'Growing data-Input'!C63,IF('Growing data-Input'!E64&lt;&gt;"",'Growing data-Input'!C64,IF('Growing data-Input'!E65,'Growing data-Input'!C65,IF('Growing data-Input'!E66&lt;&gt;"",'Growing data-Input'!C66,IF('Growing data-Input'!E67&lt;&gt;"",'Growing data-Input'!C67,IF('Growing data-Input'!E68&lt;&gt;"",'Growing data-Input'!C68,"-")))))))</f>
        <v>-</v>
      </c>
      <c r="I17" s="46" t="str">
        <f>IF(H17="-","-",VLOOKUP(H17,'Growing data-Input'!$C$17:$E$142,3,FALSE))</f>
        <v>-</v>
      </c>
      <c r="J17" s="46">
        <v>49</v>
      </c>
      <c r="K17" s="47">
        <v>13.668273083794864</v>
      </c>
      <c r="L17" s="48" t="str">
        <f t="shared" si="7"/>
        <v/>
      </c>
      <c r="M17" s="404" t="str">
        <f>'DG Rearing'!S13</f>
        <v/>
      </c>
      <c r="N17" s="404" t="str">
        <f>'DG Rearing'!T13</f>
        <v/>
      </c>
      <c r="O17" s="80" t="str">
        <f>IF(H17="-","-",VLOOKUP(H17,'Growing data-Input'!$C$17:$F$142,4,FALSE))</f>
        <v>-</v>
      </c>
      <c r="P17" s="41">
        <f>SUM('Growing data-Input'!G59:G65)</f>
        <v>0</v>
      </c>
      <c r="Q17" s="43" t="str">
        <f t="shared" si="8"/>
        <v/>
      </c>
      <c r="R17" s="43">
        <f t="shared" si="9"/>
        <v>0</v>
      </c>
      <c r="S17" s="407" t="str">
        <f>Standard!O15</f>
        <v/>
      </c>
      <c r="T17" s="44" t="str">
        <f t="shared" si="4"/>
        <v/>
      </c>
    </row>
    <row r="18" spans="1:20" ht="16.5" customHeight="1" x14ac:dyDescent="0.2">
      <c r="A18" s="198">
        <v>8</v>
      </c>
      <c r="B18" s="410" t="str">
        <f t="shared" si="1"/>
        <v>-</v>
      </c>
      <c r="C18" s="41">
        <f>SUM('Growing data-Input'!D66:D72)</f>
        <v>0</v>
      </c>
      <c r="D18" s="42">
        <f t="shared" si="2"/>
        <v>0</v>
      </c>
      <c r="E18" s="43">
        <f t="shared" si="5"/>
        <v>0</v>
      </c>
      <c r="F18" s="42" t="str">
        <f t="shared" si="0"/>
        <v/>
      </c>
      <c r="G18" s="44">
        <f t="shared" si="6"/>
        <v>0</v>
      </c>
      <c r="H18" s="45" t="str">
        <f>IF('Growing data-Input'!E69&lt;&gt;"",'Growing data-Input'!C69,IF('Growing data-Input'!E70&lt;&gt;"",'Growing data-Input'!C70,IF('Growing data-Input'!E71&lt;&gt;"",'Growing data-Input'!C71,IF('Growing data-Input'!E72,'Growing data-Input'!C72,IF('Growing data-Input'!E73&lt;&gt;"",'Growing data-Input'!C73,IF('Growing data-Input'!E74&lt;&gt;"",'Growing data-Input'!C74,IF('Growing data-Input'!E75&lt;&gt;"",'Growing data-Input'!C75,"-")))))))</f>
        <v>-</v>
      </c>
      <c r="I18" s="46" t="str">
        <f>IF(H18="-","-",VLOOKUP(H18,'Growing data-Input'!$C$17:$E$142,3,FALSE))</f>
        <v>-</v>
      </c>
      <c r="J18" s="46">
        <v>56</v>
      </c>
      <c r="K18" s="47">
        <v>13.247710835062694</v>
      </c>
      <c r="L18" s="48" t="str">
        <f t="shared" si="7"/>
        <v/>
      </c>
      <c r="M18" s="404" t="str">
        <f>'DG Rearing'!S14</f>
        <v/>
      </c>
      <c r="N18" s="404" t="str">
        <f>'DG Rearing'!T14</f>
        <v/>
      </c>
      <c r="O18" s="80" t="str">
        <f>IF(H18="-","-",VLOOKUP(H18,'Growing data-Input'!$C$17:$F$142,4,FALSE))</f>
        <v>-</v>
      </c>
      <c r="P18" s="41">
        <f>SUM('Growing data-Input'!G66:G72)</f>
        <v>0</v>
      </c>
      <c r="Q18" s="43" t="str">
        <f t="shared" si="8"/>
        <v/>
      </c>
      <c r="R18" s="43">
        <f t="shared" si="9"/>
        <v>0</v>
      </c>
      <c r="S18" s="407" t="str">
        <f>Standard!O16</f>
        <v/>
      </c>
      <c r="T18" s="44" t="str">
        <f t="shared" si="4"/>
        <v/>
      </c>
    </row>
    <row r="19" spans="1:20" ht="16.5" customHeight="1" x14ac:dyDescent="0.2">
      <c r="A19" s="198">
        <v>9</v>
      </c>
      <c r="B19" s="410" t="str">
        <f t="shared" si="1"/>
        <v>-</v>
      </c>
      <c r="C19" s="41">
        <f>SUM('Growing data-Input'!D73:D79)</f>
        <v>0</v>
      </c>
      <c r="D19" s="42">
        <f t="shared" si="2"/>
        <v>0</v>
      </c>
      <c r="E19" s="43">
        <f t="shared" si="5"/>
        <v>0</v>
      </c>
      <c r="F19" s="42" t="str">
        <f t="shared" si="0"/>
        <v/>
      </c>
      <c r="G19" s="44">
        <f t="shared" si="6"/>
        <v>0</v>
      </c>
      <c r="H19" s="45" t="str">
        <f>IF('Growing data-Input'!E76&lt;&gt;"",'Growing data-Input'!C76,IF('Growing data-Input'!E77&lt;&gt;"",'Growing data-Input'!C77,IF('Growing data-Input'!E78&lt;&gt;"",'Growing data-Input'!C78,IF('Growing data-Input'!E79,'Growing data-Input'!C79,IF('Growing data-Input'!E80&lt;&gt;"",'Growing data-Input'!C80,IF('Growing data-Input'!E81&lt;&gt;"",'Growing data-Input'!C81,IF('Growing data-Input'!E82&lt;&gt;"",'Growing data-Input'!C82,"-")))))))</f>
        <v>-</v>
      </c>
      <c r="I19" s="46" t="str">
        <f>IF(H19="-","-",VLOOKUP(H19,'Growing data-Input'!$C$17:$E$142,3,FALSE))</f>
        <v>-</v>
      </c>
      <c r="J19" s="46">
        <v>63</v>
      </c>
      <c r="K19" s="47">
        <v>13.247710835062662</v>
      </c>
      <c r="L19" s="48" t="str">
        <f t="shared" si="7"/>
        <v/>
      </c>
      <c r="M19" s="404" t="str">
        <f>'DG Rearing'!S15</f>
        <v/>
      </c>
      <c r="N19" s="404" t="str">
        <f>'DG Rearing'!T15</f>
        <v/>
      </c>
      <c r="O19" s="80" t="str">
        <f>IF(H19="-","-",VLOOKUP(H19,'Growing data-Input'!$C$17:$F$142,4,FALSE))</f>
        <v>-</v>
      </c>
      <c r="P19" s="41">
        <f>SUM('Growing data-Input'!G73:G79)</f>
        <v>0</v>
      </c>
      <c r="Q19" s="43" t="str">
        <f t="shared" si="8"/>
        <v/>
      </c>
      <c r="R19" s="43">
        <f t="shared" si="9"/>
        <v>0</v>
      </c>
      <c r="S19" s="407" t="str">
        <f>Standard!O17</f>
        <v/>
      </c>
      <c r="T19" s="44" t="str">
        <f t="shared" si="4"/>
        <v/>
      </c>
    </row>
    <row r="20" spans="1:20" ht="16.5" customHeight="1" x14ac:dyDescent="0.2">
      <c r="A20" s="198">
        <v>10</v>
      </c>
      <c r="B20" s="410" t="str">
        <f t="shared" si="1"/>
        <v>-</v>
      </c>
      <c r="C20" s="41">
        <f>SUM('Growing data-Input'!D80:D86)</f>
        <v>0</v>
      </c>
      <c r="D20" s="42">
        <f t="shared" si="2"/>
        <v>0</v>
      </c>
      <c r="E20" s="43">
        <f t="shared" si="5"/>
        <v>0</v>
      </c>
      <c r="F20" s="42" t="str">
        <f t="shared" si="0"/>
        <v/>
      </c>
      <c r="G20" s="44">
        <f t="shared" si="6"/>
        <v>0</v>
      </c>
      <c r="H20" s="45" t="str">
        <f>IF('Growing data-Input'!E83&lt;&gt;"",'Growing data-Input'!C83,IF('Growing data-Input'!E84&lt;&gt;"",'Growing data-Input'!C84,IF('Growing data-Input'!E85&lt;&gt;"",'Growing data-Input'!C85,IF('Growing data-Input'!E86,'Growing data-Input'!C86,IF('Growing data-Input'!E87&lt;&gt;"",'Growing data-Input'!C87,IF('Growing data-Input'!E88&lt;&gt;"",'Growing data-Input'!C88,IF('Growing data-Input'!E89&lt;&gt;"",'Growing data-Input'!C89,"-")))))))</f>
        <v>-</v>
      </c>
      <c r="I20" s="46" t="str">
        <f>IF(H20="-","-",VLOOKUP(H20,'Growing data-Input'!$C$17:$E$142,3,FALSE))</f>
        <v>-</v>
      </c>
      <c r="J20" s="46">
        <v>70</v>
      </c>
      <c r="K20" s="47">
        <v>13.24771083506271</v>
      </c>
      <c r="L20" s="48" t="str">
        <f t="shared" si="7"/>
        <v/>
      </c>
      <c r="M20" s="404" t="str">
        <f>'DG Rearing'!S16</f>
        <v/>
      </c>
      <c r="N20" s="404" t="str">
        <f>'DG Rearing'!T16</f>
        <v/>
      </c>
      <c r="O20" s="80" t="str">
        <f>IF(H20="-","-",VLOOKUP(H20,'Growing data-Input'!$C$17:$F$142,4,FALSE))</f>
        <v>-</v>
      </c>
      <c r="P20" s="41">
        <f>SUM('Growing data-Input'!G80:G86)</f>
        <v>0</v>
      </c>
      <c r="Q20" s="43" t="str">
        <f t="shared" si="8"/>
        <v/>
      </c>
      <c r="R20" s="43">
        <f t="shared" si="9"/>
        <v>0</v>
      </c>
      <c r="S20" s="407" t="str">
        <f>Standard!O18</f>
        <v/>
      </c>
      <c r="T20" s="44" t="str">
        <f t="shared" si="4"/>
        <v/>
      </c>
    </row>
    <row r="21" spans="1:20" ht="16.5" customHeight="1" x14ac:dyDescent="0.2">
      <c r="A21" s="198">
        <v>11</v>
      </c>
      <c r="B21" s="410" t="str">
        <f t="shared" si="1"/>
        <v>-</v>
      </c>
      <c r="C21" s="41">
        <f>SUM('Growing data-Input'!D87:D93)</f>
        <v>0</v>
      </c>
      <c r="D21" s="42">
        <f t="shared" si="2"/>
        <v>0</v>
      </c>
      <c r="E21" s="43">
        <f t="shared" si="5"/>
        <v>0</v>
      </c>
      <c r="F21" s="42" t="str">
        <f t="shared" si="0"/>
        <v/>
      </c>
      <c r="G21" s="44">
        <f t="shared" si="6"/>
        <v>0</v>
      </c>
      <c r="H21" s="45" t="str">
        <f>IF('Growing data-Input'!E90&lt;&gt;"",'Growing data-Input'!C90,IF('Growing data-Input'!E91&lt;&gt;"",'Growing data-Input'!C91,IF('Growing data-Input'!E92&lt;&gt;"",'Growing data-Input'!C92,IF('Growing data-Input'!E93,'Growing data-Input'!C93,IF('Growing data-Input'!E94&lt;&gt;"",'Growing data-Input'!C94,IF('Growing data-Input'!E95&lt;&gt;"",'Growing data-Input'!C95,IF('Growing data-Input'!E96&lt;&gt;"",'Growing data-Input'!C96,"-")))))))</f>
        <v>-</v>
      </c>
      <c r="I21" s="46" t="str">
        <f>IF(H21="-","-",VLOOKUP(H21,'Growing data-Input'!$C$17:$E$142,3,FALSE))</f>
        <v>-</v>
      </c>
      <c r="J21" s="46">
        <v>77</v>
      </c>
      <c r="K21" s="47">
        <v>13.247710835062678</v>
      </c>
      <c r="L21" s="48" t="str">
        <f t="shared" si="7"/>
        <v/>
      </c>
      <c r="M21" s="404" t="str">
        <f>'DG Rearing'!S17</f>
        <v/>
      </c>
      <c r="N21" s="404" t="str">
        <f>'DG Rearing'!T17</f>
        <v/>
      </c>
      <c r="O21" s="80" t="str">
        <f>IF(H21="-","-",VLOOKUP(H21,'Growing data-Input'!$C$17:$F$142,4,FALSE))</f>
        <v>-</v>
      </c>
      <c r="P21" s="41">
        <f>SUM('Growing data-Input'!G87:G93)</f>
        <v>0</v>
      </c>
      <c r="Q21" s="43" t="str">
        <f t="shared" si="8"/>
        <v/>
      </c>
      <c r="R21" s="43">
        <f t="shared" si="9"/>
        <v>0</v>
      </c>
      <c r="S21" s="407" t="str">
        <f>Standard!O19</f>
        <v/>
      </c>
      <c r="T21" s="44" t="str">
        <f t="shared" si="4"/>
        <v/>
      </c>
    </row>
    <row r="22" spans="1:20" ht="16.5" customHeight="1" x14ac:dyDescent="0.2">
      <c r="A22" s="198">
        <v>12</v>
      </c>
      <c r="B22" s="410" t="str">
        <f t="shared" si="1"/>
        <v>-</v>
      </c>
      <c r="C22" s="41">
        <f>SUM('Growing data-Input'!D94:D100)</f>
        <v>0</v>
      </c>
      <c r="D22" s="42">
        <f t="shared" si="2"/>
        <v>0</v>
      </c>
      <c r="E22" s="43">
        <f t="shared" si="5"/>
        <v>0</v>
      </c>
      <c r="F22" s="42" t="str">
        <f t="shared" si="0"/>
        <v/>
      </c>
      <c r="G22" s="44">
        <f t="shared" si="6"/>
        <v>0</v>
      </c>
      <c r="H22" s="45" t="str">
        <f>IF('Growing data-Input'!E97&lt;&gt;"",'Growing data-Input'!C97,IF('Growing data-Input'!E98&lt;&gt;"",'Growing data-Input'!C98,IF('Growing data-Input'!E99&lt;&gt;"",'Growing data-Input'!C99,IF('Growing data-Input'!E100,'Growing data-Input'!C100,IF('Growing data-Input'!E101&lt;&gt;"",'Growing data-Input'!C101,IF('Growing data-Input'!E102&lt;&gt;"",'Growing data-Input'!C102,IF('Growing data-Input'!E103&lt;&gt;"",'Growing data-Input'!C103,"-")))))))</f>
        <v>-</v>
      </c>
      <c r="I22" s="46" t="str">
        <f>IF(H22="-","-",VLOOKUP(H22,'Growing data-Input'!$C$17:$E$142,3,FALSE))</f>
        <v>-</v>
      </c>
      <c r="J22" s="46">
        <v>84</v>
      </c>
      <c r="K22" s="47">
        <v>13.247710835062728</v>
      </c>
      <c r="L22" s="48" t="str">
        <f t="shared" si="7"/>
        <v/>
      </c>
      <c r="M22" s="404" t="str">
        <f>'DG Rearing'!S18</f>
        <v/>
      </c>
      <c r="N22" s="404" t="str">
        <f>'DG Rearing'!T18</f>
        <v/>
      </c>
      <c r="O22" s="80" t="str">
        <f>IF(H22="-","-",VLOOKUP(H22,'Growing data-Input'!$C$17:$F$142,4,FALSE))</f>
        <v>-</v>
      </c>
      <c r="P22" s="41">
        <f>SUM('Growing data-Input'!G94:G100)</f>
        <v>0</v>
      </c>
      <c r="Q22" s="43" t="str">
        <f t="shared" si="8"/>
        <v/>
      </c>
      <c r="R22" s="43">
        <f t="shared" si="9"/>
        <v>0</v>
      </c>
      <c r="S22" s="407" t="str">
        <f>Standard!O20</f>
        <v/>
      </c>
      <c r="T22" s="44" t="str">
        <f t="shared" si="4"/>
        <v/>
      </c>
    </row>
    <row r="23" spans="1:20" ht="16.5" customHeight="1" x14ac:dyDescent="0.2">
      <c r="A23" s="198">
        <v>13</v>
      </c>
      <c r="B23" s="410" t="str">
        <f t="shared" si="1"/>
        <v>-</v>
      </c>
      <c r="C23" s="41">
        <f>SUM('Growing data-Input'!D101:D107)</f>
        <v>0</v>
      </c>
      <c r="D23" s="42">
        <f t="shared" si="2"/>
        <v>0</v>
      </c>
      <c r="E23" s="43">
        <f t="shared" si="5"/>
        <v>0</v>
      </c>
      <c r="F23" s="42" t="str">
        <f t="shared" si="0"/>
        <v/>
      </c>
      <c r="G23" s="44">
        <f t="shared" si="6"/>
        <v>0</v>
      </c>
      <c r="H23" s="45" t="str">
        <f>IF('Growing data-Input'!E104&lt;&gt;"",'Growing data-Input'!C104,IF('Growing data-Input'!E105&lt;&gt;"",'Growing data-Input'!C105,IF('Growing data-Input'!E106&lt;&gt;"",'Growing data-Input'!C106,IF('Growing data-Input'!E107,'Growing data-Input'!C107,IF('Growing data-Input'!E108&lt;&gt;"",'Growing data-Input'!C108,IF('Growing data-Input'!E109&lt;&gt;"",'Growing data-Input'!C109,IF('Growing data-Input'!E110&lt;&gt;"",'Growing data-Input'!C110,"-")))))))</f>
        <v>-</v>
      </c>
      <c r="I23" s="46" t="str">
        <f>IF(H23="-","-",VLOOKUP(H23,'Growing data-Input'!$C$17:$E$142,3,FALSE))</f>
        <v>-</v>
      </c>
      <c r="J23" s="46">
        <v>91</v>
      </c>
      <c r="K23" s="47">
        <v>12.616867461964375</v>
      </c>
      <c r="L23" s="48" t="str">
        <f t="shared" si="7"/>
        <v/>
      </c>
      <c r="M23" s="404" t="str">
        <f>'DG Rearing'!S19</f>
        <v/>
      </c>
      <c r="N23" s="404" t="str">
        <f>'DG Rearing'!T19</f>
        <v/>
      </c>
      <c r="O23" s="80" t="str">
        <f>IF(H23="-","-",VLOOKUP(H23,'Growing data-Input'!$C$17:$F$142,4,FALSE))</f>
        <v>-</v>
      </c>
      <c r="P23" s="41">
        <f>SUM('Growing data-Input'!G101:G107)</f>
        <v>0</v>
      </c>
      <c r="Q23" s="43" t="str">
        <f t="shared" si="8"/>
        <v/>
      </c>
      <c r="R23" s="43">
        <f t="shared" si="9"/>
        <v>0</v>
      </c>
      <c r="S23" s="407" t="str">
        <f>Standard!O21</f>
        <v/>
      </c>
      <c r="T23" s="44" t="str">
        <f t="shared" si="4"/>
        <v/>
      </c>
    </row>
    <row r="24" spans="1:20" ht="16.5" customHeight="1" x14ac:dyDescent="0.2">
      <c r="A24" s="198">
        <v>14</v>
      </c>
      <c r="B24" s="410" t="str">
        <f t="shared" si="1"/>
        <v>-</v>
      </c>
      <c r="C24" s="41">
        <f>SUM('Growing data-Input'!D108:D114)</f>
        <v>0</v>
      </c>
      <c r="D24" s="42">
        <f t="shared" si="2"/>
        <v>0</v>
      </c>
      <c r="E24" s="43">
        <f t="shared" si="5"/>
        <v>0</v>
      </c>
      <c r="F24" s="42" t="str">
        <f t="shared" si="0"/>
        <v/>
      </c>
      <c r="G24" s="44">
        <f t="shared" si="6"/>
        <v>0</v>
      </c>
      <c r="H24" s="45" t="str">
        <f>IF('Growing data-Input'!E111&lt;&gt;"",'Growing data-Input'!C111,IF('Growing data-Input'!E112&lt;&gt;"",'Growing data-Input'!C112,IF('Growing data-Input'!E113&lt;&gt;"",'Growing data-Input'!C113,IF('Growing data-Input'!E114,'Growing data-Input'!C114,IF('Growing data-Input'!E115&lt;&gt;"",'Growing data-Input'!C115,IF('Growing data-Input'!E116&lt;&gt;"",'Growing data-Input'!C116,IF('Growing data-Input'!E117&lt;&gt;"",'Growing data-Input'!C117,"-")))))))</f>
        <v>-</v>
      </c>
      <c r="I24" s="46" t="str">
        <f>IF(H24="-","-",VLOOKUP(H24,'Growing data-Input'!$C$17:$E$142,3,FALSE))</f>
        <v>-</v>
      </c>
      <c r="J24" s="46">
        <v>98</v>
      </c>
      <c r="K24" s="47">
        <v>11.775742964500198</v>
      </c>
      <c r="L24" s="48" t="str">
        <f t="shared" si="7"/>
        <v/>
      </c>
      <c r="M24" s="404" t="str">
        <f>'DG Rearing'!S20</f>
        <v/>
      </c>
      <c r="N24" s="404" t="str">
        <f>'DG Rearing'!T20</f>
        <v/>
      </c>
      <c r="O24" s="80" t="str">
        <f>IF(H24="-","-",VLOOKUP(H24,'Growing data-Input'!$C$17:$F$142,4,FALSE))</f>
        <v>-</v>
      </c>
      <c r="P24" s="41">
        <f>SUM('Growing data-Input'!G108:G114)</f>
        <v>0</v>
      </c>
      <c r="Q24" s="43" t="str">
        <f t="shared" si="8"/>
        <v/>
      </c>
      <c r="R24" s="43">
        <f t="shared" si="9"/>
        <v>0</v>
      </c>
      <c r="S24" s="407" t="str">
        <f>Standard!O22</f>
        <v/>
      </c>
      <c r="T24" s="44" t="str">
        <f t="shared" si="4"/>
        <v/>
      </c>
    </row>
    <row r="25" spans="1:20" ht="16.5" customHeight="1" x14ac:dyDescent="0.2">
      <c r="A25" s="198">
        <v>15</v>
      </c>
      <c r="B25" s="410" t="str">
        <f t="shared" si="1"/>
        <v>-</v>
      </c>
      <c r="C25" s="41">
        <f>SUM('Growing data-Input'!D115:D121)</f>
        <v>0</v>
      </c>
      <c r="D25" s="42">
        <f t="shared" si="2"/>
        <v>0</v>
      </c>
      <c r="E25" s="43">
        <f t="shared" si="5"/>
        <v>0</v>
      </c>
      <c r="F25" s="42" t="str">
        <f t="shared" si="0"/>
        <v/>
      </c>
      <c r="G25" s="44">
        <f t="shared" si="6"/>
        <v>0</v>
      </c>
      <c r="H25" s="45" t="str">
        <f>IF('Growing data-Input'!E118&lt;&gt;"",'Growing data-Input'!C118,IF('Growing data-Input'!E119&lt;&gt;"",'Growing data-Input'!C119,IF('Growing data-Input'!E120&lt;&gt;"",'Growing data-Input'!C120,IF('Growing data-Input'!E121,'Growing data-Input'!C121,IF('Growing data-Input'!E122&lt;&gt;"",'Growing data-Input'!C122,IF('Growing data-Input'!E123&lt;&gt;"",'Growing data-Input'!C123,IF('Growing data-Input'!E124&lt;&gt;"",'Growing data-Input'!C124,"-")))))))</f>
        <v>-</v>
      </c>
      <c r="I25" s="46" t="str">
        <f>IF(H25="-","-",VLOOKUP(H25,'Growing data-Input'!$C$17:$E$142,3,FALSE))</f>
        <v>-</v>
      </c>
      <c r="J25" s="46">
        <v>105</v>
      </c>
      <c r="K25" s="47">
        <v>11.775742964500198</v>
      </c>
      <c r="L25" s="48" t="str">
        <f t="shared" si="7"/>
        <v/>
      </c>
      <c r="M25" s="404" t="str">
        <f>'DG Rearing'!S21</f>
        <v/>
      </c>
      <c r="N25" s="404" t="str">
        <f>'DG Rearing'!T21</f>
        <v/>
      </c>
      <c r="O25" s="80" t="str">
        <f>IF(H25="-","-",VLOOKUP(H25,'Growing data-Input'!$C$17:$F$142,4,FALSE))</f>
        <v>-</v>
      </c>
      <c r="P25" s="41">
        <f>SUM('Growing data-Input'!G115:G121)</f>
        <v>0</v>
      </c>
      <c r="Q25" s="43" t="str">
        <f t="shared" si="8"/>
        <v/>
      </c>
      <c r="R25" s="43">
        <f t="shared" si="9"/>
        <v>0</v>
      </c>
      <c r="S25" s="407" t="str">
        <f>Standard!O23</f>
        <v/>
      </c>
      <c r="T25" s="44" t="str">
        <f t="shared" si="4"/>
        <v/>
      </c>
    </row>
    <row r="26" spans="1:20" ht="16.5" customHeight="1" x14ac:dyDescent="0.2">
      <c r="A26" s="198">
        <v>16</v>
      </c>
      <c r="B26" s="410" t="str">
        <f t="shared" si="1"/>
        <v>-</v>
      </c>
      <c r="C26" s="41">
        <f>SUM('Growing data-Input'!D122:D128)</f>
        <v>0</v>
      </c>
      <c r="D26" s="42">
        <f t="shared" si="2"/>
        <v>0</v>
      </c>
      <c r="E26" s="43">
        <f t="shared" si="5"/>
        <v>0</v>
      </c>
      <c r="F26" s="42" t="str">
        <f t="shared" si="0"/>
        <v/>
      </c>
      <c r="G26" s="44">
        <f t="shared" si="6"/>
        <v>0</v>
      </c>
      <c r="H26" s="45" t="str">
        <f>IF('Growing data-Input'!E125&lt;&gt;"",'Growing data-Input'!C125,IF('Growing data-Input'!E126&lt;&gt;"",'Growing data-Input'!C126,IF('Growing data-Input'!E127&lt;&gt;"",'Growing data-Input'!C127,IF('Growing data-Input'!E128,'Growing data-Input'!C128,IF('Growing data-Input'!E129&lt;&gt;"",'Growing data-Input'!C129,IF('Growing data-Input'!E130&lt;&gt;"",'Growing data-Input'!C130,IF('Growing data-Input'!E131&lt;&gt;"",'Growing data-Input'!C131,"-")))))))</f>
        <v>-</v>
      </c>
      <c r="I26" s="46" t="str">
        <f>IF(H26="-","-",VLOOKUP(H26,'Growing data-Input'!$C$17:$E$142,3,FALSE))</f>
        <v>-</v>
      </c>
      <c r="J26" s="46">
        <v>112</v>
      </c>
      <c r="K26" s="47">
        <v>11.775742964500134</v>
      </c>
      <c r="L26" s="48" t="str">
        <f t="shared" si="7"/>
        <v/>
      </c>
      <c r="M26" s="404" t="str">
        <f>'DG Rearing'!S22</f>
        <v/>
      </c>
      <c r="N26" s="404" t="str">
        <f>'DG Rearing'!T22</f>
        <v/>
      </c>
      <c r="O26" s="80" t="str">
        <f>IF(H26="-","-",VLOOKUP(H26,'Growing data-Input'!$C$17:$F$142,4,FALSE))</f>
        <v>-</v>
      </c>
      <c r="P26" s="41">
        <f>SUM('Growing data-Input'!G122:G128)</f>
        <v>0</v>
      </c>
      <c r="Q26" s="43" t="str">
        <f t="shared" si="8"/>
        <v/>
      </c>
      <c r="R26" s="43">
        <f t="shared" si="9"/>
        <v>0</v>
      </c>
      <c r="S26" s="407" t="str">
        <f>Standard!O24</f>
        <v/>
      </c>
      <c r="T26" s="44" t="str">
        <f t="shared" si="4"/>
        <v/>
      </c>
    </row>
    <row r="27" spans="1:20" ht="16.5" customHeight="1" x14ac:dyDescent="0.2">
      <c r="A27" s="198">
        <v>17</v>
      </c>
      <c r="B27" s="410" t="str">
        <f t="shared" si="1"/>
        <v>-</v>
      </c>
      <c r="C27" s="41">
        <f>SUM('Growing data-Input'!D129:D135)</f>
        <v>0</v>
      </c>
      <c r="D27" s="42">
        <f t="shared" si="2"/>
        <v>0</v>
      </c>
      <c r="E27" s="43">
        <f t="shared" si="5"/>
        <v>0</v>
      </c>
      <c r="F27" s="42" t="str">
        <f t="shared" si="0"/>
        <v/>
      </c>
      <c r="G27" s="44">
        <f t="shared" si="6"/>
        <v>0</v>
      </c>
      <c r="H27" s="45" t="str">
        <f>IF('Growing data-Input'!E132&lt;&gt;"",'Growing data-Input'!C132,IF('Growing data-Input'!E133&lt;&gt;"",'Growing data-Input'!C133,IF('Growing data-Input'!E134&lt;&gt;"",'Growing data-Input'!C134,IF('Growing data-Input'!E135,'Growing data-Input'!C135,IF('Growing data-Input'!E136&lt;&gt;"",'Growing data-Input'!C136,IF('Growing data-Input'!E137&lt;&gt;"",'Growing data-Input'!C137,IF('Growing data-Input'!E138&lt;&gt;"",'Growing data-Input'!C138,"-")))))))</f>
        <v>-</v>
      </c>
      <c r="I27" s="46" t="str">
        <f>IF(H27="-","-",VLOOKUP(H27,'Growing data-Input'!$C$17:$E$142,3,FALSE))</f>
        <v>-</v>
      </c>
      <c r="J27" s="46">
        <v>119</v>
      </c>
      <c r="K27" s="47">
        <v>11.144899591402009</v>
      </c>
      <c r="L27" s="48" t="str">
        <f t="shared" si="7"/>
        <v/>
      </c>
      <c r="M27" s="404" t="str">
        <f>'DG Rearing'!S23</f>
        <v/>
      </c>
      <c r="N27" s="404" t="str">
        <f>'DG Rearing'!T23</f>
        <v/>
      </c>
      <c r="O27" s="80" t="str">
        <f>IF(H27="-","-",VLOOKUP(H27,'Growing data-Input'!$C$17:$F$142,4,FALSE))</f>
        <v>-</v>
      </c>
      <c r="P27" s="41">
        <f>SUM('Growing data-Input'!G129:G135)</f>
        <v>0</v>
      </c>
      <c r="Q27" s="43" t="str">
        <f t="shared" si="8"/>
        <v/>
      </c>
      <c r="R27" s="43">
        <f t="shared" si="9"/>
        <v>0</v>
      </c>
      <c r="S27" s="407" t="str">
        <f>Standard!O25</f>
        <v/>
      </c>
      <c r="T27" s="44" t="str">
        <f t="shared" si="4"/>
        <v/>
      </c>
    </row>
    <row r="28" spans="1:20" ht="16.5" customHeight="1" thickBot="1" x14ac:dyDescent="0.25">
      <c r="A28" s="199">
        <v>18</v>
      </c>
      <c r="B28" s="411" t="str">
        <f t="shared" si="1"/>
        <v>-</v>
      </c>
      <c r="C28" s="49">
        <f>SUM('Growing data-Input'!D136:D142)</f>
        <v>0</v>
      </c>
      <c r="D28" s="50">
        <f t="shared" si="2"/>
        <v>0</v>
      </c>
      <c r="E28" s="51">
        <f t="shared" si="5"/>
        <v>0</v>
      </c>
      <c r="F28" s="50" t="str">
        <f t="shared" si="0"/>
        <v/>
      </c>
      <c r="G28" s="52">
        <f t="shared" si="6"/>
        <v>0</v>
      </c>
      <c r="H28" s="53" t="str">
        <f>IF('Growing data-Input'!E139&lt;&gt;"",'Growing data-Input'!C139,IF('Growing data-Input'!E140&lt;&gt;"",'Growing data-Input'!C140,IF('Growing data-Input'!E141&lt;&gt;"",'Growing data-Input'!C141,IF('Growing data-Input'!E142,'Growing data-Input'!C142,IF('Growing data-Input'!E143&lt;&gt;"",'Growing data-Input'!C143,IF('Growing data-Input'!E144&lt;&gt;"",'Growing data-Input'!C144,IF('Growing data-Input'!E145&lt;&gt;"",'Growing data-Input'!C145,"-")))))))</f>
        <v>-</v>
      </c>
      <c r="I28" s="54" t="str">
        <f>IF(H28="-","-",VLOOKUP(H28,'Growing data-Input'!$C$17:$E$142,3,FALSE))</f>
        <v>-</v>
      </c>
      <c r="J28" s="54">
        <v>126</v>
      </c>
      <c r="K28" s="55">
        <v>10.303775093937645</v>
      </c>
      <c r="L28" s="56" t="str">
        <f t="shared" si="7"/>
        <v/>
      </c>
      <c r="M28" s="405" t="str">
        <f>'DG Rearing'!S24</f>
        <v/>
      </c>
      <c r="N28" s="405" t="str">
        <f>'DG Rearing'!T24</f>
        <v/>
      </c>
      <c r="O28" s="81" t="str">
        <f>IF(H28="-","-",VLOOKUP(H28,'Growing data-Input'!$C$17:$F$142,4,FALSE))</f>
        <v>-</v>
      </c>
      <c r="P28" s="49">
        <f>SUM('Growing data-Input'!G136:G142)</f>
        <v>0</v>
      </c>
      <c r="Q28" s="51" t="str">
        <f t="shared" si="8"/>
        <v/>
      </c>
      <c r="R28" s="51">
        <f t="shared" si="9"/>
        <v>0</v>
      </c>
      <c r="S28" s="408" t="str">
        <f>Standard!O26</f>
        <v/>
      </c>
      <c r="T28" s="52" t="str">
        <f t="shared" si="4"/>
        <v/>
      </c>
    </row>
    <row r="29" spans="1:20" x14ac:dyDescent="0.2">
      <c r="O29" s="201"/>
    </row>
    <row r="35" spans="17:17" x14ac:dyDescent="0.2">
      <c r="Q35" s="141" t="s">
        <v>247</v>
      </c>
    </row>
  </sheetData>
  <sheetProtection password="CECC" sheet="1" objects="1" scenarios="1"/>
  <mergeCells count="9">
    <mergeCell ref="A8:A10"/>
    <mergeCell ref="H8:O8"/>
    <mergeCell ref="C1:T1"/>
    <mergeCell ref="C8:G8"/>
    <mergeCell ref="C4:E4"/>
    <mergeCell ref="M5:Q5"/>
    <mergeCell ref="P8:T8"/>
    <mergeCell ref="B8:B10"/>
    <mergeCell ref="R9:T9"/>
  </mergeCells>
  <phoneticPr fontId="0" type="noConversion"/>
  <conditionalFormatting sqref="D12:D28">
    <cfRule type="cellIs" dxfId="9" priority="4" stopIfTrue="1" operator="equal">
      <formula>0</formula>
    </cfRule>
  </conditionalFormatting>
  <conditionalFormatting sqref="F12:F28">
    <cfRule type="cellIs" dxfId="8" priority="2" stopIfTrue="1" operator="equal">
      <formula>0</formula>
    </cfRule>
  </conditionalFormatting>
  <conditionalFormatting sqref="D15">
    <cfRule type="cellIs" dxfId="7" priority="3" stopIfTrue="1" operator="equal">
      <formula>0</formula>
    </cfRule>
  </conditionalFormatting>
  <conditionalFormatting sqref="F11">
    <cfRule type="cellIs" dxfId="6" priority="5" stopIfTrue="1" operator="equal">
      <formula>0</formula>
    </cfRule>
  </conditionalFormatting>
  <conditionalFormatting sqref="D11">
    <cfRule type="cellIs" dxfId="5" priority="1" stopIfTrue="1" operator="equal">
      <formula>0</formula>
    </cfRule>
  </conditionalFormatting>
  <printOptions horizontalCentered="1" verticalCentered="1"/>
  <pageMargins left="0.70866141732283472" right="0.70866141732283472" top="0.94488188976377963" bottom="0.74803149606299213" header="0.31496062992125984" footer="0.31496062992125984"/>
  <pageSetup paperSize="9" scale="67" orientation="landscape" verticalDpi="300" r:id="rId1"/>
  <headerFooter alignWithMargins="0">
    <oddHeader>&amp;L&amp;G&amp;R&amp;G</oddHeader>
  </headerFooter>
  <ignoredErrors>
    <ignoredError sqref="H5:I6 H4:I4 F4:F5 I13:I28 O11:O28 P14 I12 H12:H28" emptyCellReference="1"/>
    <ignoredError sqref="P12" formulaRange="1"/>
    <ignoredError sqref="P11" formulaRange="1" unlockedFormula="1"/>
    <ignoredError sqref="P13 P16:P18 P19:P23 P24:P28" formulaRange="1" unlockedFormula="1" emptyCellReference="1"/>
    <ignoredError sqref="E10" 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2060"/>
    <pageSetUpPr fitToPage="1"/>
  </sheetPr>
  <dimension ref="A1:N597"/>
  <sheetViews>
    <sheetView showGridLines="0" zoomScaleNormal="100" zoomScaleSheetLayoutView="100" workbookViewId="0">
      <pane xSplit="1" ySplit="12" topLeftCell="B13" activePane="bottomRight" state="frozen"/>
      <selection pane="topRight" activeCell="B1" sqref="B1"/>
      <selection pane="bottomLeft" activeCell="A13" sqref="A13"/>
      <selection pane="bottomRight" activeCell="H38" sqref="H38"/>
    </sheetView>
  </sheetViews>
  <sheetFormatPr baseColWidth="10" defaultRowHeight="12.75" x14ac:dyDescent="0.2"/>
  <cols>
    <col min="1" max="1" width="15.42578125" style="203" customWidth="1"/>
    <col min="2" max="2" width="18.7109375" style="140" customWidth="1"/>
    <col min="3" max="3" width="17.140625" style="163" customWidth="1"/>
    <col min="4" max="4" width="16.28515625" style="163" customWidth="1"/>
    <col min="5" max="5" width="18.85546875" style="163" customWidth="1"/>
    <col min="6" max="6" width="21.140625" style="163" customWidth="1"/>
    <col min="7" max="7" width="15.7109375" style="204" customWidth="1"/>
    <col min="8" max="8" width="23.5703125" style="163" customWidth="1"/>
    <col min="9" max="9" width="22.85546875" style="163" bestFit="1" customWidth="1"/>
    <col min="10" max="10" width="17.42578125" style="163" customWidth="1"/>
    <col min="11" max="16384" width="11.42578125" style="163"/>
  </cols>
  <sheetData>
    <row r="1" spans="1:14" ht="21.75" customHeight="1" x14ac:dyDescent="0.35">
      <c r="A1" s="465" t="str">
        <f>IF(Data!$C$15="","",VLOOKUP(Data!$C$15,Traduction!$A$2:$BR$13,14,FALSE))</f>
        <v>Période de production</v>
      </c>
      <c r="B1" s="465"/>
      <c r="C1" s="465"/>
      <c r="D1" s="465"/>
      <c r="E1" s="465"/>
      <c r="F1" s="465"/>
      <c r="G1" s="465"/>
      <c r="H1" s="465"/>
      <c r="I1" s="465"/>
      <c r="J1" s="465"/>
    </row>
    <row r="2" spans="1:14" ht="21.75" customHeight="1" x14ac:dyDescent="0.35">
      <c r="A2" s="253"/>
      <c r="B2" s="253"/>
      <c r="C2" s="253"/>
      <c r="D2" s="253"/>
      <c r="E2" s="253"/>
      <c r="F2" s="253"/>
      <c r="G2" s="253"/>
      <c r="H2" s="253"/>
      <c r="I2" s="253"/>
      <c r="J2" s="253"/>
    </row>
    <row r="3" spans="1:14" ht="7.5" customHeight="1" thickBot="1" x14ac:dyDescent="0.25"/>
    <row r="4" spans="1:14" ht="18" customHeight="1" x14ac:dyDescent="0.25">
      <c r="A4" s="131" t="str">
        <f>IF(Data!$C$15="","",VLOOKUP(Data!$C$15,Traduction!$A$2:$BR$13,4,FALSE))</f>
        <v>Pays</v>
      </c>
      <c r="B4" s="61"/>
      <c r="C4" s="61"/>
      <c r="D4" s="359" t="str">
        <f>IF(Data!F31&lt;&gt;"",Data!F31,"")</f>
        <v/>
      </c>
      <c r="E4" s="61"/>
      <c r="F4" s="61" t="str">
        <f>IF(Data!$C$15="","",VLOOKUP(Data!$C$15,Traduction!$A$2:$BR$13,8,FALSE))</f>
        <v>Lignée</v>
      </c>
      <c r="G4" s="61"/>
      <c r="H4" s="61"/>
      <c r="I4" s="348" t="str">
        <f>IF(Data!F36&lt;&gt;"",Data!F36,"")</f>
        <v/>
      </c>
      <c r="J4" s="205"/>
    </row>
    <row r="5" spans="1:14" ht="18" customHeight="1" x14ac:dyDescent="0.25">
      <c r="A5" s="133" t="str">
        <f>IF(Data!$C$15="","",VLOOKUP(Data!$C$15,Traduction!$A$2:$BR$13,5,FALSE))</f>
        <v>Société</v>
      </c>
      <c r="B5" s="62"/>
      <c r="C5" s="62"/>
      <c r="D5" s="360" t="str">
        <f>IF(Data!F32&lt;&gt;"",Data!F32,"")</f>
        <v/>
      </c>
      <c r="E5" s="62"/>
      <c r="F5" s="62" t="str">
        <f>IF(Data!$C$15="","",VLOOKUP(Data!$C$15,Traduction!$A$2:$BR$13,9,FALSE))</f>
        <v>Nombre</v>
      </c>
      <c r="G5" s="62"/>
      <c r="H5" s="62"/>
      <c r="I5" s="352" t="str">
        <f>IF(Data!F37&lt;&gt;"",Data!F37,"")</f>
        <v/>
      </c>
      <c r="J5" s="206"/>
    </row>
    <row r="6" spans="1:14" ht="18" customHeight="1" x14ac:dyDescent="0.25">
      <c r="A6" s="133" t="str">
        <f>IF(Data!$C$15="","",VLOOKUP(Data!$C$15,Traduction!$A$2:$BR$13,6,FALSE))</f>
        <v>Ferme</v>
      </c>
      <c r="B6" s="62"/>
      <c r="C6" s="62"/>
      <c r="D6" s="360" t="str">
        <f>IF(Data!F33&lt;&gt;"",Data!F33,"")</f>
        <v/>
      </c>
      <c r="E6" s="62"/>
      <c r="F6" s="62" t="str">
        <f>IF(Data!$C$15="","",VLOOKUP(Data!$C$15,Traduction!$A$2:$BR$13,15,FALSE))</f>
        <v>Date du transfert</v>
      </c>
      <c r="G6" s="62"/>
      <c r="H6" s="207"/>
      <c r="I6" s="350" t="str">
        <f>IF(Data!F38&lt;&gt;"",Data!F38,"")</f>
        <v/>
      </c>
      <c r="J6" s="208"/>
    </row>
    <row r="7" spans="1:14" ht="18" customHeight="1" thickBot="1" x14ac:dyDescent="0.3">
      <c r="A7" s="135" t="str">
        <f>IF(Data!$C$15="","",VLOOKUP(Data!$C$15,Traduction!$A$2:$BR$13,7,FALSE))</f>
        <v>Poulailler</v>
      </c>
      <c r="B7" s="63"/>
      <c r="C7" s="63"/>
      <c r="D7" s="361" t="str">
        <f>IF(Data!F34&lt;&gt;"",Data!F34,"")</f>
        <v/>
      </c>
      <c r="E7" s="209"/>
      <c r="F7" s="262" t="str">
        <f>IF(Data!$C$15="","",VLOOKUP(Data!$C$15,Traduction!$A$2:$BR$13,16,FALSE))</f>
        <v>Type d'élevage</v>
      </c>
      <c r="G7" s="210"/>
      <c r="H7" s="64"/>
      <c r="I7" s="351" t="str">
        <f>IF(Data!F35&lt;&gt;"",Data!F35,"")</f>
        <v/>
      </c>
      <c r="J7" s="211"/>
    </row>
    <row r="8" spans="1:14" ht="13.5" customHeight="1" x14ac:dyDescent="0.2"/>
    <row r="9" spans="1:14" ht="13.5" customHeight="1" thickBot="1" x14ac:dyDescent="0.25">
      <c r="C9" s="212"/>
      <c r="D9" s="212"/>
      <c r="E9" s="212"/>
      <c r="F9" s="212"/>
      <c r="G9" s="213"/>
      <c r="H9" s="212"/>
      <c r="I9" s="212"/>
    </row>
    <row r="10" spans="1:14" ht="17.25" customHeight="1" x14ac:dyDescent="0.2">
      <c r="A10" s="458" t="str">
        <f>IF(Data!$C$15="","",VLOOKUP(Data!$C$15,Traduction!$A$2:$BR$13,18,FALSE))</f>
        <v>Age</v>
      </c>
      <c r="B10" s="458" t="str">
        <f>IF(Data!$C$15="","",VLOOKUP(Data!$C$15,Traduction!$A$2:$BR$13,25,FALSE))</f>
        <v>Date début de semaine</v>
      </c>
      <c r="C10" s="458" t="str">
        <f>IF(Data!$C$15="","",VLOOKUP(Data!$C$15,Traduction!$A$2:$BR$13,19,FALSE))</f>
        <v>Mortalité</v>
      </c>
      <c r="D10" s="479" t="str">
        <f>IF(Data!$C$15="","",VLOOKUP(Data!$C$15,Traduction!$A$2:$BR$13,26,FALSE))</f>
        <v>Production</v>
      </c>
      <c r="E10" s="458" t="str">
        <f>IF(Data!$C$15="","",VLOOKUP(Data!$C$15,Traduction!$A$2:$BR$13,41,FALSE))</f>
        <v>Déclassés Elevage</v>
      </c>
      <c r="F10" s="458" t="str">
        <f>IF(Data!$C$15="","",VLOOKUP(Data!$C$15,Traduction!$A$2:$BR$13,42,FALSE))</f>
        <v>Déclassés Centre</v>
      </c>
      <c r="G10" s="481" t="str">
        <f>IF(Data!$C$15="","",VLOOKUP(Data!$C$15,Traduction!$A$2:$BR$13,43,FALSE))</f>
        <v>Poids de l'œuf</v>
      </c>
      <c r="H10" s="458" t="str">
        <f>IF(Data!$C$15="","",VLOOKUP(Data!$C$15,Traduction!$A$2:$BR$13,44,FALSE))</f>
        <v>Conso d'aliment</v>
      </c>
      <c r="I10" s="458" t="str">
        <f>IF(Data!$C$15="","",VLOOKUP(Data!$C$15,Traduction!$A$2:$BR$13,45,FALSE))</f>
        <v>Conso d'eau</v>
      </c>
      <c r="J10" s="458" t="str">
        <f>IF(Data!$C$15="","",VLOOKUP(Data!$C$15,Traduction!$A$2:$BR$13,20,FALSE))</f>
        <v>Poids corporel</v>
      </c>
      <c r="L10" s="140"/>
      <c r="M10" s="140"/>
      <c r="N10" s="214"/>
    </row>
    <row r="11" spans="1:14" ht="17.25" customHeight="1" x14ac:dyDescent="0.2">
      <c r="A11" s="478"/>
      <c r="B11" s="478"/>
      <c r="C11" s="478"/>
      <c r="D11" s="480"/>
      <c r="E11" s="478"/>
      <c r="F11" s="478"/>
      <c r="G11" s="482"/>
      <c r="H11" s="478"/>
      <c r="I11" s="478"/>
      <c r="J11" s="478"/>
      <c r="L11" s="140"/>
      <c r="M11" s="140"/>
      <c r="N11" s="214"/>
    </row>
    <row r="12" spans="1:14" ht="12.75" customHeight="1" x14ac:dyDescent="0.2">
      <c r="A12" s="57"/>
      <c r="B12" s="57"/>
      <c r="C12" s="170" t="str">
        <f>IF(Data!$C$15="","",VLOOKUP(Data!$C$15,Traduction!$A$2:$BZ$13,9,FALSE))</f>
        <v>Nombre</v>
      </c>
      <c r="D12" s="170" t="str">
        <f>IF(Data!$C$15="","",VLOOKUP(Data!$C$15,Traduction!$A$2:$BZ$13,9,FALSE))</f>
        <v>Nombre</v>
      </c>
      <c r="E12" s="170" t="str">
        <f>IF(Data!$C$15="","",VLOOKUP(Data!$C$15,Traduction!$A$2:$BZ$13,9,FALSE))</f>
        <v>Nombre</v>
      </c>
      <c r="F12" s="170" t="str">
        <f>IF(Data!$C$15="","",VLOOKUP(Data!$C$15,Traduction!$A$2:$BZ$13,9,FALSE))</f>
        <v>Nombre</v>
      </c>
      <c r="G12" s="170" t="str">
        <f>IF(Data!$C$15="","",VLOOKUP(Data!$C$15,Traduction!$A$2:$BZ$13,75,FALSE))</f>
        <v>g</v>
      </c>
      <c r="H12" s="215" t="str">
        <f>IF(Data!$C$15="","",VLOOKUP(Data!$C$15,Traduction!$A$2:$CZ$13,78,FALSE))</f>
        <v>kg</v>
      </c>
      <c r="I12" s="215" t="str">
        <f>IF(Data!$C$15="","",VLOOKUP(Data!$C$15,Traduction!$A$2:$BS$13,71,FALSE))</f>
        <v>l/jour</v>
      </c>
      <c r="J12" s="170" t="str">
        <f>IF(Data!$C$15="","",VLOOKUP(Data!$C$15,Traduction!$A$2:$BZ$13,75,FALSE))</f>
        <v>g</v>
      </c>
    </row>
    <row r="13" spans="1:14" s="176" customFormat="1" ht="12" customHeight="1" x14ac:dyDescent="0.2">
      <c r="A13" s="30">
        <v>17</v>
      </c>
      <c r="B13" s="419" t="str">
        <f>"Total "&amp;A13</f>
        <v>Total 17</v>
      </c>
      <c r="C13" s="216">
        <v>0</v>
      </c>
      <c r="D13" s="216">
        <v>0</v>
      </c>
      <c r="E13" s="216"/>
      <c r="F13" s="216"/>
      <c r="G13" s="217"/>
      <c r="H13" s="216"/>
      <c r="I13" s="216"/>
      <c r="J13" s="216"/>
    </row>
    <row r="14" spans="1:14" s="176" customFormat="1" ht="12.75" customHeight="1" x14ac:dyDescent="0.2">
      <c r="A14" s="58">
        <v>18</v>
      </c>
      <c r="B14" s="420" t="str">
        <f t="shared" ref="B14:B19" si="0">IF(B15&lt;&gt;"",B15-1,"")</f>
        <v/>
      </c>
      <c r="C14" s="218"/>
      <c r="D14" s="218"/>
      <c r="E14" s="218"/>
      <c r="F14" s="218"/>
      <c r="G14" s="219"/>
      <c r="H14" s="218"/>
      <c r="I14" s="218"/>
      <c r="J14" s="218"/>
    </row>
    <row r="15" spans="1:14" s="176" customFormat="1" ht="12.75" customHeight="1" x14ac:dyDescent="0.2">
      <c r="A15" s="58">
        <v>18</v>
      </c>
      <c r="B15" s="420" t="str">
        <f t="shared" si="0"/>
        <v/>
      </c>
      <c r="C15" s="218"/>
      <c r="D15" s="218"/>
      <c r="E15" s="218"/>
      <c r="F15" s="218"/>
      <c r="G15" s="219"/>
      <c r="H15" s="218"/>
      <c r="I15" s="218"/>
      <c r="J15" s="218"/>
    </row>
    <row r="16" spans="1:14" s="176" customFormat="1" ht="12.75" customHeight="1" x14ac:dyDescent="0.2">
      <c r="A16" s="58">
        <v>18</v>
      </c>
      <c r="B16" s="420" t="str">
        <f t="shared" si="0"/>
        <v/>
      </c>
      <c r="C16" s="218"/>
      <c r="D16" s="218"/>
      <c r="E16" s="218"/>
      <c r="F16" s="218"/>
      <c r="G16" s="219"/>
      <c r="H16" s="218"/>
      <c r="I16" s="218"/>
      <c r="J16" s="218"/>
    </row>
    <row r="17" spans="1:10" s="176" customFormat="1" ht="12.75" customHeight="1" x14ac:dyDescent="0.2">
      <c r="A17" s="59">
        <v>18</v>
      </c>
      <c r="B17" s="420" t="str">
        <f t="shared" si="0"/>
        <v/>
      </c>
      <c r="C17" s="218"/>
      <c r="D17" s="218"/>
      <c r="E17" s="220"/>
      <c r="F17" s="220"/>
      <c r="G17" s="221"/>
      <c r="H17" s="218"/>
      <c r="I17" s="220"/>
      <c r="J17" s="220"/>
    </row>
    <row r="18" spans="1:10" s="176" customFormat="1" ht="12.75" customHeight="1" x14ac:dyDescent="0.2">
      <c r="A18" s="59">
        <v>18</v>
      </c>
      <c r="B18" s="420" t="str">
        <f t="shared" si="0"/>
        <v/>
      </c>
      <c r="C18" s="220"/>
      <c r="D18" s="220"/>
      <c r="E18" s="220"/>
      <c r="F18" s="220"/>
      <c r="G18" s="221"/>
      <c r="H18" s="218"/>
      <c r="I18" s="220"/>
      <c r="J18" s="220"/>
    </row>
    <row r="19" spans="1:10" s="176" customFormat="1" ht="12.75" customHeight="1" x14ac:dyDescent="0.2">
      <c r="A19" s="59">
        <v>18</v>
      </c>
      <c r="B19" s="420" t="str">
        <f t="shared" si="0"/>
        <v/>
      </c>
      <c r="C19" s="220"/>
      <c r="D19" s="220"/>
      <c r="E19" s="220"/>
      <c r="F19" s="220"/>
      <c r="G19" s="221"/>
      <c r="H19" s="218"/>
      <c r="I19" s="220"/>
      <c r="J19" s="220"/>
    </row>
    <row r="20" spans="1:10" s="176" customFormat="1" ht="12.75" customHeight="1" x14ac:dyDescent="0.2">
      <c r="A20" s="60">
        <v>18</v>
      </c>
      <c r="B20" s="421" t="str">
        <f>IF(Data!F39&lt;&gt;"",Data!F39,"")</f>
        <v/>
      </c>
      <c r="C20" s="222"/>
      <c r="D20" s="222"/>
      <c r="E20" s="222"/>
      <c r="F20" s="222"/>
      <c r="G20" s="223"/>
      <c r="H20" s="218"/>
      <c r="I20" s="222"/>
      <c r="J20" s="222"/>
    </row>
    <row r="21" spans="1:10" s="176" customFormat="1" ht="13.5" customHeight="1" x14ac:dyDescent="0.2">
      <c r="A21" s="30">
        <v>18</v>
      </c>
      <c r="B21" s="419" t="str">
        <f>"Total "&amp;A21</f>
        <v>Total 18</v>
      </c>
      <c r="C21" s="31" t="str">
        <f>IF(AND(C14=0,C15=0,C16=0,C17=0,C18=0,C19=0,C20=0),"",SUM(C14:C20))</f>
        <v/>
      </c>
      <c r="D21" s="31" t="str">
        <f>IF(AND(D14=0,D15=0,D16=0,D17=0,D18=0,D19=0,D20=0),"",SUM(D14:D20))</f>
        <v/>
      </c>
      <c r="E21" s="31">
        <f>IF(AND(E14=0,E15=0,E16=0,E17=0,E18=0,E19=0,E20=0),0,SUM(E14:E20))</f>
        <v>0</v>
      </c>
      <c r="F21" s="31">
        <f>IF(AND(F14=0,F15=0,F16=0,F17=0,F18=0,F19=0,F20=0),0,SUM(F14:F20))</f>
        <v>0</v>
      </c>
      <c r="G21" s="32" t="str">
        <f>IF(AND(G14=0,G15=0,G16=0,G17=0,G18=0,G19=0,G20=0),"",AVERAGE(G14:G20))</f>
        <v/>
      </c>
      <c r="H21" s="31">
        <f>IF(AND(H14=0,H15=0,H16=0,H17=0,H18=0,H19=0,H20=0),0,SUM(H14:H20))</f>
        <v>0</v>
      </c>
      <c r="I21" s="31" t="str">
        <f>IF(AND(I14=0,I15=0,I16=0,I17=0,I18=0,I19=0,I20=0),"",SUM(I14:I20))</f>
        <v/>
      </c>
      <c r="J21" s="31">
        <f>IF(AND(J14=0,J15=0,J16=0,J17=0,J18=0,J19=0,J20=0),0,AVERAGE(J14:J20))</f>
        <v>0</v>
      </c>
    </row>
    <row r="22" spans="1:10" s="176" customFormat="1" ht="12.75" customHeight="1" x14ac:dyDescent="0.2">
      <c r="A22" s="58">
        <v>19</v>
      </c>
      <c r="B22" s="420" t="str">
        <f>IF(B20&lt;&gt;"",B20+1,"")</f>
        <v/>
      </c>
      <c r="C22" s="218"/>
      <c r="D22" s="218"/>
      <c r="E22" s="218"/>
      <c r="F22" s="218"/>
      <c r="G22" s="219"/>
      <c r="H22" s="218"/>
      <c r="I22" s="218"/>
      <c r="J22" s="218"/>
    </row>
    <row r="23" spans="1:10" s="176" customFormat="1" ht="12.75" customHeight="1" x14ac:dyDescent="0.2">
      <c r="A23" s="58">
        <v>19</v>
      </c>
      <c r="B23" s="420" t="str">
        <f t="shared" ref="B23:B28" si="1">IF(B22&lt;&gt;"",B22+1,"")</f>
        <v/>
      </c>
      <c r="C23" s="218"/>
      <c r="D23" s="218"/>
      <c r="E23" s="218"/>
      <c r="F23" s="218"/>
      <c r="G23" s="219"/>
      <c r="H23" s="218"/>
      <c r="I23" s="218"/>
      <c r="J23" s="218"/>
    </row>
    <row r="24" spans="1:10" s="176" customFormat="1" ht="12.75" customHeight="1" x14ac:dyDescent="0.2">
      <c r="A24" s="58">
        <v>19</v>
      </c>
      <c r="B24" s="420" t="str">
        <f t="shared" si="1"/>
        <v/>
      </c>
      <c r="C24" s="218"/>
      <c r="D24" s="218"/>
      <c r="E24" s="218"/>
      <c r="F24" s="218"/>
      <c r="G24" s="219"/>
      <c r="H24" s="218"/>
      <c r="I24" s="218"/>
      <c r="J24" s="218"/>
    </row>
    <row r="25" spans="1:10" s="176" customFormat="1" ht="12.75" customHeight="1" x14ac:dyDescent="0.2">
      <c r="A25" s="59">
        <v>19</v>
      </c>
      <c r="B25" s="420" t="str">
        <f t="shared" si="1"/>
        <v/>
      </c>
      <c r="C25" s="220"/>
      <c r="D25" s="220"/>
      <c r="E25" s="220"/>
      <c r="F25" s="220"/>
      <c r="G25" s="221"/>
      <c r="H25" s="218"/>
      <c r="I25" s="220"/>
      <c r="J25" s="220"/>
    </row>
    <row r="26" spans="1:10" s="176" customFormat="1" ht="12.75" customHeight="1" x14ac:dyDescent="0.2">
      <c r="A26" s="59">
        <v>19</v>
      </c>
      <c r="B26" s="420" t="str">
        <f t="shared" si="1"/>
        <v/>
      </c>
      <c r="C26" s="220"/>
      <c r="D26" s="220"/>
      <c r="E26" s="220"/>
      <c r="F26" s="220"/>
      <c r="G26" s="221"/>
      <c r="H26" s="218"/>
      <c r="I26" s="220"/>
      <c r="J26" s="220"/>
    </row>
    <row r="27" spans="1:10" s="176" customFormat="1" ht="12.75" customHeight="1" x14ac:dyDescent="0.2">
      <c r="A27" s="59">
        <v>19</v>
      </c>
      <c r="B27" s="420" t="str">
        <f t="shared" si="1"/>
        <v/>
      </c>
      <c r="C27" s="220"/>
      <c r="D27" s="220"/>
      <c r="E27" s="220"/>
      <c r="F27" s="220"/>
      <c r="G27" s="221"/>
      <c r="H27" s="218"/>
      <c r="I27" s="220"/>
      <c r="J27" s="220"/>
    </row>
    <row r="28" spans="1:10" s="176" customFormat="1" ht="12.75" customHeight="1" x14ac:dyDescent="0.2">
      <c r="A28" s="60">
        <v>19</v>
      </c>
      <c r="B28" s="420" t="str">
        <f t="shared" si="1"/>
        <v/>
      </c>
      <c r="C28" s="222"/>
      <c r="D28" s="222"/>
      <c r="E28" s="222"/>
      <c r="F28" s="222"/>
      <c r="G28" s="223"/>
      <c r="H28" s="218"/>
      <c r="I28" s="222"/>
      <c r="J28" s="222"/>
    </row>
    <row r="29" spans="1:10" s="176" customFormat="1" ht="13.5" customHeight="1" x14ac:dyDescent="0.2">
      <c r="A29" s="30">
        <v>19</v>
      </c>
      <c r="B29" s="419" t="str">
        <f>"Total "&amp;A29</f>
        <v>Total 19</v>
      </c>
      <c r="C29" s="31" t="str">
        <f>IF(AND(C22=0,C23=0,C24=0,C25=0,C26=0,C27=0,C28=0),"",SUM(C22:C28))</f>
        <v/>
      </c>
      <c r="D29" s="31" t="str">
        <f>IF(AND(D22=0,D23=0,D24=0,D25=0,D26=0,D27=0,D28=0),"",SUM(D22:D28))</f>
        <v/>
      </c>
      <c r="E29" s="31">
        <f>IF(AND(E22=0,E23=0,E24=0,E25=0,E26=0,E27=0,E28=0),0,SUM(E22:E28))</f>
        <v>0</v>
      </c>
      <c r="F29" s="31">
        <f>IF(AND(F22=0,F23=0,F24=0,F25=0,F26=0,F27=0,F28=0),0,SUM(F22:F28))</f>
        <v>0</v>
      </c>
      <c r="G29" s="32" t="str">
        <f>IF(AND(G22=0,G23=0,G24=0,G25=0,G26=0,G27=0,G28=0),"",AVERAGE(G22:G28))</f>
        <v/>
      </c>
      <c r="H29" s="31">
        <f>IF(AND(H22=0,H23=0,H24=0,H25=0,H26=0,H27=0,H28=0),0,SUM(H22:H28))</f>
        <v>0</v>
      </c>
      <c r="I29" s="31" t="str">
        <f>IF(AND(I22=0,I23=0,I24=0,I25=0,I26=0,I27=0,I28=0),"",SUM(I22:I28))</f>
        <v/>
      </c>
      <c r="J29" s="31">
        <f>IF(AND(J22=0,J23=0,J24=0,J25=0,J26=0,J27=0,J28=0),0,AVERAGE(J22:J28))</f>
        <v>0</v>
      </c>
    </row>
    <row r="30" spans="1:10" s="176" customFormat="1" ht="12.75" customHeight="1" x14ac:dyDescent="0.2">
      <c r="A30" s="58">
        <v>20</v>
      </c>
      <c r="B30" s="420" t="str">
        <f>IF(B28&lt;&gt;"",B28+1,"")</f>
        <v/>
      </c>
      <c r="C30" s="218"/>
      <c r="D30" s="218"/>
      <c r="E30" s="218"/>
      <c r="F30" s="218"/>
      <c r="G30" s="219"/>
      <c r="H30" s="218"/>
      <c r="I30" s="218"/>
      <c r="J30" s="218"/>
    </row>
    <row r="31" spans="1:10" s="176" customFormat="1" ht="12.75" customHeight="1" x14ac:dyDescent="0.2">
      <c r="A31" s="58">
        <v>20</v>
      </c>
      <c r="B31" s="420" t="str">
        <f t="shared" ref="B31:B36" si="2">IF(B30&lt;&gt;"",B30+1,"")</f>
        <v/>
      </c>
      <c r="C31" s="218"/>
      <c r="D31" s="218"/>
      <c r="E31" s="218"/>
      <c r="F31" s="218"/>
      <c r="G31" s="219"/>
      <c r="H31" s="218"/>
      <c r="I31" s="218"/>
      <c r="J31" s="218"/>
    </row>
    <row r="32" spans="1:10" s="176" customFormat="1" ht="12.75" customHeight="1" x14ac:dyDescent="0.2">
      <c r="A32" s="58">
        <v>20</v>
      </c>
      <c r="B32" s="420" t="str">
        <f t="shared" si="2"/>
        <v/>
      </c>
      <c r="C32" s="218"/>
      <c r="D32" s="218"/>
      <c r="E32" s="218"/>
      <c r="F32" s="218"/>
      <c r="G32" s="219"/>
      <c r="H32" s="218"/>
      <c r="I32" s="218"/>
      <c r="J32" s="218"/>
    </row>
    <row r="33" spans="1:10" s="176" customFormat="1" ht="12.75" customHeight="1" x14ac:dyDescent="0.2">
      <c r="A33" s="59">
        <v>20</v>
      </c>
      <c r="B33" s="420" t="str">
        <f t="shared" si="2"/>
        <v/>
      </c>
      <c r="C33" s="220"/>
      <c r="D33" s="220"/>
      <c r="E33" s="220"/>
      <c r="F33" s="220"/>
      <c r="G33" s="221"/>
      <c r="H33" s="220"/>
      <c r="I33" s="220"/>
      <c r="J33" s="220"/>
    </row>
    <row r="34" spans="1:10" s="176" customFormat="1" ht="12.75" customHeight="1" x14ac:dyDescent="0.2">
      <c r="A34" s="59">
        <v>20</v>
      </c>
      <c r="B34" s="420" t="str">
        <f t="shared" si="2"/>
        <v/>
      </c>
      <c r="C34" s="220"/>
      <c r="D34" s="220"/>
      <c r="E34" s="220"/>
      <c r="F34" s="220"/>
      <c r="G34" s="221"/>
      <c r="H34" s="220"/>
      <c r="I34" s="220"/>
      <c r="J34" s="220"/>
    </row>
    <row r="35" spans="1:10" s="176" customFormat="1" ht="12.75" customHeight="1" x14ac:dyDescent="0.2">
      <c r="A35" s="59">
        <v>20</v>
      </c>
      <c r="B35" s="420" t="str">
        <f t="shared" si="2"/>
        <v/>
      </c>
      <c r="C35" s="220"/>
      <c r="D35" s="220"/>
      <c r="E35" s="220"/>
      <c r="F35" s="220"/>
      <c r="G35" s="221"/>
      <c r="H35" s="220"/>
      <c r="I35" s="220"/>
      <c r="J35" s="220"/>
    </row>
    <row r="36" spans="1:10" s="176" customFormat="1" ht="12.75" customHeight="1" x14ac:dyDescent="0.2">
      <c r="A36" s="60">
        <v>20</v>
      </c>
      <c r="B36" s="420" t="str">
        <f t="shared" si="2"/>
        <v/>
      </c>
      <c r="C36" s="222"/>
      <c r="D36" s="222"/>
      <c r="E36" s="222"/>
      <c r="F36" s="222"/>
      <c r="G36" s="223"/>
      <c r="H36" s="222"/>
      <c r="I36" s="222"/>
      <c r="J36" s="222"/>
    </row>
    <row r="37" spans="1:10" s="176" customFormat="1" ht="13.5" customHeight="1" x14ac:dyDescent="0.2">
      <c r="A37" s="30">
        <v>20</v>
      </c>
      <c r="B37" s="419" t="str">
        <f>"Total "&amp;A37</f>
        <v>Total 20</v>
      </c>
      <c r="C37" s="31" t="str">
        <f>IF(AND(C30=0,C31=0,C32=0,C33=0,C34=0,C35=0,C36=0),"",SUM(C30:C36))</f>
        <v/>
      </c>
      <c r="D37" s="31" t="str">
        <f>IF(AND(D30=0,D31=0,D32=0,D33=0,D34=0,D35=0,D36=0),"",SUM(D30:D36))</f>
        <v/>
      </c>
      <c r="E37" s="31">
        <f>IF(AND(E30=0,E31=0,E32=0,E33=0,E34=0,E35=0,E36=0),0,SUM(E30:E36))</f>
        <v>0</v>
      </c>
      <c r="F37" s="31">
        <f>IF(AND(F30=0,F31=0,F32=0,F33=0,F34=0,F35=0,F36=0),0,SUM(F30:F36))</f>
        <v>0</v>
      </c>
      <c r="G37" s="32" t="str">
        <f>IF(AND(G30=0,G31=0,G32=0,G33=0,G34=0,G35=0,G36=0),"",AVERAGE(G30:G36))</f>
        <v/>
      </c>
      <c r="H37" s="31">
        <f>IF(AND(H30=0,H31=0,H32=0,H33=0,H34=0,H35=0,H36=0),0,SUM(H30:H36))</f>
        <v>0</v>
      </c>
      <c r="I37" s="31" t="str">
        <f>IF(AND(I30=0,I31=0,I32=0,I33=0,I34=0,I35=0,I36=0),"",SUM(I30:I36))</f>
        <v/>
      </c>
      <c r="J37" s="31">
        <f>IF(AND(J30=0,J31=0,J32=0,J33=0,J34=0,J35=0,J36=0),0,AVERAGE(J30:J36))</f>
        <v>0</v>
      </c>
    </row>
    <row r="38" spans="1:10" s="176" customFormat="1" ht="12.75" customHeight="1" x14ac:dyDescent="0.2">
      <c r="A38" s="58">
        <v>21</v>
      </c>
      <c r="B38" s="420" t="str">
        <f>IF(B36&lt;&gt;"",B36+1,"")</f>
        <v/>
      </c>
      <c r="C38" s="218"/>
      <c r="D38" s="218"/>
      <c r="E38" s="218"/>
      <c r="F38" s="218"/>
      <c r="G38" s="219"/>
      <c r="H38" s="218"/>
      <c r="I38" s="218"/>
      <c r="J38" s="218"/>
    </row>
    <row r="39" spans="1:10" s="176" customFormat="1" ht="12.75" customHeight="1" x14ac:dyDescent="0.2">
      <c r="A39" s="58">
        <v>21</v>
      </c>
      <c r="B39" s="420" t="str">
        <f t="shared" ref="B39:B44" si="3">IF(B38&lt;&gt;"",B38+1,"")</f>
        <v/>
      </c>
      <c r="C39" s="218"/>
      <c r="D39" s="218"/>
      <c r="E39" s="218"/>
      <c r="F39" s="218"/>
      <c r="G39" s="219"/>
      <c r="H39" s="218"/>
      <c r="I39" s="218"/>
      <c r="J39" s="218"/>
    </row>
    <row r="40" spans="1:10" s="176" customFormat="1" ht="12.75" customHeight="1" x14ac:dyDescent="0.2">
      <c r="A40" s="58">
        <v>21</v>
      </c>
      <c r="B40" s="420" t="str">
        <f t="shared" si="3"/>
        <v/>
      </c>
      <c r="C40" s="218"/>
      <c r="D40" s="218"/>
      <c r="E40" s="218"/>
      <c r="F40" s="218"/>
      <c r="G40" s="219"/>
      <c r="H40" s="218"/>
      <c r="I40" s="218"/>
      <c r="J40" s="218"/>
    </row>
    <row r="41" spans="1:10" s="176" customFormat="1" ht="12.75" customHeight="1" x14ac:dyDescent="0.2">
      <c r="A41" s="59">
        <v>21</v>
      </c>
      <c r="B41" s="420" t="str">
        <f t="shared" si="3"/>
        <v/>
      </c>
      <c r="C41" s="220"/>
      <c r="D41" s="220"/>
      <c r="E41" s="220"/>
      <c r="F41" s="220"/>
      <c r="G41" s="221"/>
      <c r="H41" s="220"/>
      <c r="I41" s="220"/>
      <c r="J41" s="220"/>
    </row>
    <row r="42" spans="1:10" s="176" customFormat="1" ht="12.75" customHeight="1" x14ac:dyDescent="0.2">
      <c r="A42" s="59">
        <v>21</v>
      </c>
      <c r="B42" s="420" t="str">
        <f t="shared" si="3"/>
        <v/>
      </c>
      <c r="C42" s="220"/>
      <c r="D42" s="220"/>
      <c r="E42" s="220"/>
      <c r="F42" s="220"/>
      <c r="G42" s="221"/>
      <c r="H42" s="220"/>
      <c r="I42" s="220"/>
      <c r="J42" s="220"/>
    </row>
    <row r="43" spans="1:10" s="176" customFormat="1" ht="12.75" customHeight="1" x14ac:dyDescent="0.2">
      <c r="A43" s="59">
        <v>21</v>
      </c>
      <c r="B43" s="420" t="str">
        <f t="shared" si="3"/>
        <v/>
      </c>
      <c r="C43" s="220"/>
      <c r="D43" s="220"/>
      <c r="E43" s="220"/>
      <c r="F43" s="220"/>
      <c r="G43" s="221"/>
      <c r="H43" s="220"/>
      <c r="I43" s="220"/>
      <c r="J43" s="220"/>
    </row>
    <row r="44" spans="1:10" s="176" customFormat="1" ht="12.75" customHeight="1" x14ac:dyDescent="0.2">
      <c r="A44" s="60">
        <v>21</v>
      </c>
      <c r="B44" s="420" t="str">
        <f t="shared" si="3"/>
        <v/>
      </c>
      <c r="C44" s="222"/>
      <c r="D44" s="222"/>
      <c r="E44" s="222"/>
      <c r="F44" s="222"/>
      <c r="G44" s="223"/>
      <c r="H44" s="222"/>
      <c r="I44" s="222"/>
      <c r="J44" s="222"/>
    </row>
    <row r="45" spans="1:10" s="176" customFormat="1" ht="13.5" customHeight="1" x14ac:dyDescent="0.2">
      <c r="A45" s="30">
        <v>21</v>
      </c>
      <c r="B45" s="419" t="str">
        <f>"Total "&amp;A45</f>
        <v>Total 21</v>
      </c>
      <c r="C45" s="31" t="str">
        <f>IF(AND(C38=0,C39=0,C40=0,C41=0,C42=0,C43=0,C44=0),"",SUM(C38:C44))</f>
        <v/>
      </c>
      <c r="D45" s="31" t="str">
        <f>IF(AND(D38=0,D39=0,D40=0,D41=0,D42=0,D43=0,D44=0),"",SUM(D38:D44))</f>
        <v/>
      </c>
      <c r="E45" s="31">
        <f>IF(AND(E38=0,E39=0,E40=0,E41=0,E42=0,E43=0,E44=0),0,SUM(E38:E44))</f>
        <v>0</v>
      </c>
      <c r="F45" s="31">
        <f>IF(AND(F38=0,F39=0,F40=0,F41=0,F42=0,F43=0,F44=0),0,SUM(F38:F44))</f>
        <v>0</v>
      </c>
      <c r="G45" s="32" t="str">
        <f>IF(AND(G38=0,G39=0,G40=0,G41=0,G42=0,G43=0,G44=0),"",AVERAGE(G38:G44))</f>
        <v/>
      </c>
      <c r="H45" s="31">
        <f>IF(AND(H38=0,H39=0,H40=0,H41=0,H42=0,H43=0,H44=0),0,SUM(H38:H44))</f>
        <v>0</v>
      </c>
      <c r="I45" s="31" t="str">
        <f>IF(AND(I38=0,I39=0,I40=0,I41=0,I42=0,I43=0,I44=0),"",SUM(I38:I44))</f>
        <v/>
      </c>
      <c r="J45" s="31">
        <f>IF(AND(J38=0,J39=0,J40=0,J41=0,J42=0,J43=0,J44=0),0,AVERAGE(J38:J44))</f>
        <v>0</v>
      </c>
    </row>
    <row r="46" spans="1:10" s="176" customFormat="1" ht="12.75" customHeight="1" x14ac:dyDescent="0.2">
      <c r="A46" s="58">
        <v>22</v>
      </c>
      <c r="B46" s="420" t="str">
        <f>IF(B44&lt;&gt;"",B44+1,"")</f>
        <v/>
      </c>
      <c r="C46" s="218"/>
      <c r="D46" s="218"/>
      <c r="E46" s="218"/>
      <c r="F46" s="218"/>
      <c r="G46" s="219"/>
      <c r="H46" s="218"/>
      <c r="I46" s="218"/>
      <c r="J46" s="218"/>
    </row>
    <row r="47" spans="1:10" s="176" customFormat="1" ht="12.75" customHeight="1" x14ac:dyDescent="0.2">
      <c r="A47" s="58">
        <v>22</v>
      </c>
      <c r="B47" s="420" t="str">
        <f t="shared" ref="B47:B52" si="4">IF(B46&lt;&gt;"",B46+1,"")</f>
        <v/>
      </c>
      <c r="C47" s="218"/>
      <c r="D47" s="218"/>
      <c r="E47" s="218"/>
      <c r="F47" s="218"/>
      <c r="G47" s="219"/>
      <c r="H47" s="218"/>
      <c r="I47" s="218"/>
      <c r="J47" s="218"/>
    </row>
    <row r="48" spans="1:10" s="176" customFormat="1" ht="12.75" customHeight="1" x14ac:dyDescent="0.2">
      <c r="A48" s="58">
        <v>22</v>
      </c>
      <c r="B48" s="420" t="str">
        <f t="shared" si="4"/>
        <v/>
      </c>
      <c r="C48" s="218"/>
      <c r="D48" s="218"/>
      <c r="E48" s="218"/>
      <c r="F48" s="218"/>
      <c r="G48" s="219"/>
      <c r="H48" s="218"/>
      <c r="I48" s="218"/>
      <c r="J48" s="218"/>
    </row>
    <row r="49" spans="1:10" s="176" customFormat="1" ht="12.75" customHeight="1" x14ac:dyDescent="0.2">
      <c r="A49" s="59">
        <v>22</v>
      </c>
      <c r="B49" s="420" t="str">
        <f t="shared" si="4"/>
        <v/>
      </c>
      <c r="C49" s="220"/>
      <c r="D49" s="220"/>
      <c r="E49" s="220"/>
      <c r="F49" s="220"/>
      <c r="G49" s="221"/>
      <c r="H49" s="220"/>
      <c r="I49" s="220"/>
      <c r="J49" s="220"/>
    </row>
    <row r="50" spans="1:10" s="176" customFormat="1" ht="12.75" customHeight="1" x14ac:dyDescent="0.2">
      <c r="A50" s="59">
        <v>22</v>
      </c>
      <c r="B50" s="420" t="str">
        <f t="shared" si="4"/>
        <v/>
      </c>
      <c r="C50" s="220"/>
      <c r="D50" s="220"/>
      <c r="E50" s="220"/>
      <c r="F50" s="220"/>
      <c r="G50" s="221"/>
      <c r="H50" s="220"/>
      <c r="I50" s="220"/>
      <c r="J50" s="220"/>
    </row>
    <row r="51" spans="1:10" s="176" customFormat="1" ht="12.75" customHeight="1" x14ac:dyDescent="0.2">
      <c r="A51" s="59">
        <v>22</v>
      </c>
      <c r="B51" s="420" t="str">
        <f t="shared" si="4"/>
        <v/>
      </c>
      <c r="C51" s="220"/>
      <c r="D51" s="220"/>
      <c r="E51" s="220"/>
      <c r="F51" s="220"/>
      <c r="G51" s="221"/>
      <c r="H51" s="220"/>
      <c r="I51" s="220"/>
      <c r="J51" s="220"/>
    </row>
    <row r="52" spans="1:10" s="176" customFormat="1" ht="12.75" customHeight="1" x14ac:dyDescent="0.2">
      <c r="A52" s="60">
        <v>22</v>
      </c>
      <c r="B52" s="420" t="str">
        <f t="shared" si="4"/>
        <v/>
      </c>
      <c r="C52" s="222"/>
      <c r="D52" s="222"/>
      <c r="E52" s="222"/>
      <c r="F52" s="222"/>
      <c r="G52" s="223"/>
      <c r="H52" s="222"/>
      <c r="I52" s="222"/>
      <c r="J52" s="222"/>
    </row>
    <row r="53" spans="1:10" s="176" customFormat="1" ht="12.75" customHeight="1" x14ac:dyDescent="0.2">
      <c r="A53" s="30">
        <v>22</v>
      </c>
      <c r="B53" s="419" t="str">
        <f>"Total "&amp;A53</f>
        <v>Total 22</v>
      </c>
      <c r="C53" s="31" t="str">
        <f>IF(AND(C46=0,C47=0,C48=0,C49=0,C50=0,C51=0,C52=0),"",SUM(C46:C52))</f>
        <v/>
      </c>
      <c r="D53" s="31" t="str">
        <f>IF(AND(D46=0,D47=0,D48=0,D49=0,D50=0,D51=0,D52=0),"",SUM(D46:D52))</f>
        <v/>
      </c>
      <c r="E53" s="31">
        <f>IF(AND(E46=0,E47=0,E48=0,E49=0,E50=0,E51=0,E52=0),0,SUM(E46:E52))</f>
        <v>0</v>
      </c>
      <c r="F53" s="31">
        <f>IF(AND(F46=0,F47=0,F48=0,F49=0,F50=0,F51=0,F52=0),0,SUM(F46:F52))</f>
        <v>0</v>
      </c>
      <c r="G53" s="32" t="str">
        <f>IF(AND(G46=0,G47=0,G48=0,G49=0,G50=0,G51=0,G52=0),"",AVERAGE(G46:G52))</f>
        <v/>
      </c>
      <c r="H53" s="31">
        <f>IF(AND(H46=0,H47=0,H48=0,H49=0,H50=0,H51=0,H52=0),0,SUM(H46:H52))</f>
        <v>0</v>
      </c>
      <c r="I53" s="31" t="str">
        <f>IF(AND(I46=0,I47=0,I48=0,I49=0,I50=0,I51=0,I52=0),"",SUM(I46:I52))</f>
        <v/>
      </c>
      <c r="J53" s="31">
        <f>IF(AND(J46=0,J47=0,J48=0,J49=0,J50=0,J51=0,J52=0),0,AVERAGE(J46:J52))</f>
        <v>0</v>
      </c>
    </row>
    <row r="54" spans="1:10" s="176" customFormat="1" ht="12.75" customHeight="1" x14ac:dyDescent="0.2">
      <c r="A54" s="58">
        <f>A46+1</f>
        <v>23</v>
      </c>
      <c r="B54" s="420" t="str">
        <f>IF(B52&lt;&gt;"",B52+1,"")</f>
        <v/>
      </c>
      <c r="C54" s="218"/>
      <c r="D54" s="218"/>
      <c r="E54" s="218"/>
      <c r="F54" s="218"/>
      <c r="G54" s="219"/>
      <c r="H54" s="218"/>
      <c r="I54" s="218"/>
      <c r="J54" s="218"/>
    </row>
    <row r="55" spans="1:10" s="176" customFormat="1" ht="12.75" customHeight="1" x14ac:dyDescent="0.2">
      <c r="A55" s="58">
        <f t="shared" ref="A55:A60" si="5">A47+1</f>
        <v>23</v>
      </c>
      <c r="B55" s="420" t="str">
        <f t="shared" ref="B55:B60" si="6">IF(B54&lt;&gt;"",B54+1,"")</f>
        <v/>
      </c>
      <c r="C55" s="218"/>
      <c r="D55" s="218"/>
      <c r="E55" s="218"/>
      <c r="F55" s="218"/>
      <c r="G55" s="219"/>
      <c r="H55" s="218"/>
      <c r="I55" s="218"/>
      <c r="J55" s="218"/>
    </row>
    <row r="56" spans="1:10" s="176" customFormat="1" ht="12.75" customHeight="1" x14ac:dyDescent="0.2">
      <c r="A56" s="58">
        <f t="shared" si="5"/>
        <v>23</v>
      </c>
      <c r="B56" s="420" t="str">
        <f t="shared" si="6"/>
        <v/>
      </c>
      <c r="C56" s="218"/>
      <c r="D56" s="218"/>
      <c r="E56" s="218"/>
      <c r="F56" s="218"/>
      <c r="G56" s="219"/>
      <c r="H56" s="218"/>
      <c r="I56" s="218"/>
      <c r="J56" s="218"/>
    </row>
    <row r="57" spans="1:10" s="176" customFormat="1" ht="12.75" customHeight="1" x14ac:dyDescent="0.2">
      <c r="A57" s="59">
        <f t="shared" si="5"/>
        <v>23</v>
      </c>
      <c r="B57" s="420" t="str">
        <f t="shared" si="6"/>
        <v/>
      </c>
      <c r="C57" s="220"/>
      <c r="D57" s="220"/>
      <c r="E57" s="220"/>
      <c r="F57" s="220"/>
      <c r="G57" s="221"/>
      <c r="H57" s="220"/>
      <c r="I57" s="220"/>
      <c r="J57" s="220"/>
    </row>
    <row r="58" spans="1:10" s="176" customFormat="1" ht="12.75" customHeight="1" x14ac:dyDescent="0.2">
      <c r="A58" s="59">
        <f t="shared" si="5"/>
        <v>23</v>
      </c>
      <c r="B58" s="420" t="str">
        <f t="shared" si="6"/>
        <v/>
      </c>
      <c r="C58" s="220"/>
      <c r="D58" s="220"/>
      <c r="E58" s="220"/>
      <c r="F58" s="220"/>
      <c r="G58" s="221"/>
      <c r="H58" s="220"/>
      <c r="I58" s="220"/>
      <c r="J58" s="220"/>
    </row>
    <row r="59" spans="1:10" s="176" customFormat="1" ht="12.75" customHeight="1" x14ac:dyDescent="0.2">
      <c r="A59" s="59">
        <f t="shared" si="5"/>
        <v>23</v>
      </c>
      <c r="B59" s="420" t="str">
        <f t="shared" si="6"/>
        <v/>
      </c>
      <c r="C59" s="220"/>
      <c r="D59" s="220"/>
      <c r="E59" s="220"/>
      <c r="F59" s="220"/>
      <c r="G59" s="221"/>
      <c r="H59" s="220"/>
      <c r="I59" s="220"/>
      <c r="J59" s="220"/>
    </row>
    <row r="60" spans="1:10" s="176" customFormat="1" ht="12.75" customHeight="1" x14ac:dyDescent="0.2">
      <c r="A60" s="60">
        <f t="shared" si="5"/>
        <v>23</v>
      </c>
      <c r="B60" s="420" t="str">
        <f t="shared" si="6"/>
        <v/>
      </c>
      <c r="C60" s="222"/>
      <c r="D60" s="222"/>
      <c r="E60" s="222"/>
      <c r="F60" s="222"/>
      <c r="G60" s="223"/>
      <c r="H60" s="222"/>
      <c r="I60" s="222"/>
      <c r="J60" s="222"/>
    </row>
    <row r="61" spans="1:10" s="176" customFormat="1" ht="12" customHeight="1" x14ac:dyDescent="0.2">
      <c r="A61" s="30">
        <v>23</v>
      </c>
      <c r="B61" s="419" t="str">
        <f>"Total "&amp;A61</f>
        <v>Total 23</v>
      </c>
      <c r="C61" s="31" t="str">
        <f>IF(AND(C54=0,C55=0,C56=0,C57=0,C58=0,C59=0,C60=0),"",SUM(C54:C60))</f>
        <v/>
      </c>
      <c r="D61" s="31" t="str">
        <f>IF(AND(D54=0,D55=0,D56=0,D57=0,D58=0,D59=0,D60=0),"",SUM(D54:D60))</f>
        <v/>
      </c>
      <c r="E61" s="31">
        <f>IF(AND(E54=0,E55=0,E56=0,E57=0,E58=0,E59=0,E60=0),0,SUM(E54:E60))</f>
        <v>0</v>
      </c>
      <c r="F61" s="31">
        <f>IF(AND(F54=0,F55=0,F56=0,F57=0,F58=0,F59=0,F60=0),0,SUM(F54:F60))</f>
        <v>0</v>
      </c>
      <c r="G61" s="32" t="str">
        <f>IF(AND(G54=0,G55=0,G56=0,G57=0,G58=0,G59=0,G60=0),"",AVERAGE(G54:G60))</f>
        <v/>
      </c>
      <c r="H61" s="31">
        <f>IF(AND(H54=0,H55=0,H56=0,H57=0,H58=0,H59=0,H60=0),0,SUM(H54:H60))</f>
        <v>0</v>
      </c>
      <c r="I61" s="31" t="str">
        <f>IF(AND(I54=0,I55=0,I56=0,I57=0,I58=0,I59=0,I60=0),"",SUM(I54:I60))</f>
        <v/>
      </c>
      <c r="J61" s="31">
        <f>IF(AND(J54=0,J55=0,J56=0,J57=0,J58=0,J59=0,J60=0),0,AVERAGE(J54:J60))</f>
        <v>0</v>
      </c>
    </row>
    <row r="62" spans="1:10" s="176" customFormat="1" ht="12.75" customHeight="1" x14ac:dyDescent="0.2">
      <c r="A62" s="58">
        <f t="shared" ref="A62:A68" si="7">A54+1</f>
        <v>24</v>
      </c>
      <c r="B62" s="420" t="str">
        <f>IF(B60&lt;&gt;"",B60+1,"")</f>
        <v/>
      </c>
      <c r="C62" s="218"/>
      <c r="D62" s="218"/>
      <c r="E62" s="218"/>
      <c r="F62" s="218"/>
      <c r="G62" s="219"/>
      <c r="H62" s="218"/>
      <c r="I62" s="218"/>
      <c r="J62" s="218"/>
    </row>
    <row r="63" spans="1:10" s="176" customFormat="1" ht="12.75" customHeight="1" x14ac:dyDescent="0.2">
      <c r="A63" s="58">
        <f t="shared" si="7"/>
        <v>24</v>
      </c>
      <c r="B63" s="420" t="str">
        <f t="shared" ref="B63:B68" si="8">IF(B62&lt;&gt;"",B62+1,"")</f>
        <v/>
      </c>
      <c r="C63" s="218"/>
      <c r="D63" s="218"/>
      <c r="E63" s="218"/>
      <c r="F63" s="218"/>
      <c r="G63" s="219"/>
      <c r="H63" s="218"/>
      <c r="I63" s="218"/>
      <c r="J63" s="218"/>
    </row>
    <row r="64" spans="1:10" s="176" customFormat="1" ht="12.75" customHeight="1" x14ac:dyDescent="0.2">
      <c r="A64" s="58">
        <f t="shared" si="7"/>
        <v>24</v>
      </c>
      <c r="B64" s="420" t="str">
        <f t="shared" si="8"/>
        <v/>
      </c>
      <c r="C64" s="218"/>
      <c r="D64" s="218"/>
      <c r="E64" s="218"/>
      <c r="F64" s="218"/>
      <c r="G64" s="219"/>
      <c r="H64" s="218"/>
      <c r="I64" s="218"/>
      <c r="J64" s="218"/>
    </row>
    <row r="65" spans="1:10" s="176" customFormat="1" ht="12.75" customHeight="1" x14ac:dyDescent="0.2">
      <c r="A65" s="59">
        <f t="shared" si="7"/>
        <v>24</v>
      </c>
      <c r="B65" s="420" t="str">
        <f t="shared" si="8"/>
        <v/>
      </c>
      <c r="C65" s="220"/>
      <c r="D65" s="220"/>
      <c r="E65" s="220"/>
      <c r="F65" s="220"/>
      <c r="G65" s="221"/>
      <c r="H65" s="220"/>
      <c r="I65" s="220"/>
      <c r="J65" s="220"/>
    </row>
    <row r="66" spans="1:10" s="176" customFormat="1" ht="12.75" customHeight="1" x14ac:dyDescent="0.2">
      <c r="A66" s="59">
        <f t="shared" si="7"/>
        <v>24</v>
      </c>
      <c r="B66" s="420" t="str">
        <f t="shared" si="8"/>
        <v/>
      </c>
      <c r="C66" s="220"/>
      <c r="D66" s="220"/>
      <c r="E66" s="220"/>
      <c r="F66" s="220"/>
      <c r="G66" s="221"/>
      <c r="H66" s="220"/>
      <c r="I66" s="220"/>
      <c r="J66" s="220"/>
    </row>
    <row r="67" spans="1:10" s="176" customFormat="1" ht="12.75" customHeight="1" x14ac:dyDescent="0.2">
      <c r="A67" s="59">
        <f t="shared" si="7"/>
        <v>24</v>
      </c>
      <c r="B67" s="420" t="str">
        <f t="shared" si="8"/>
        <v/>
      </c>
      <c r="C67" s="220"/>
      <c r="D67" s="220"/>
      <c r="E67" s="220"/>
      <c r="F67" s="220"/>
      <c r="G67" s="221"/>
      <c r="H67" s="220"/>
      <c r="I67" s="220"/>
      <c r="J67" s="220"/>
    </row>
    <row r="68" spans="1:10" s="176" customFormat="1" ht="12.75" customHeight="1" x14ac:dyDescent="0.2">
      <c r="A68" s="60">
        <f t="shared" si="7"/>
        <v>24</v>
      </c>
      <c r="B68" s="420" t="str">
        <f t="shared" si="8"/>
        <v/>
      </c>
      <c r="C68" s="222"/>
      <c r="D68" s="222"/>
      <c r="E68" s="222"/>
      <c r="F68" s="222"/>
      <c r="G68" s="223"/>
      <c r="H68" s="222"/>
      <c r="I68" s="222"/>
      <c r="J68" s="222"/>
    </row>
    <row r="69" spans="1:10" s="176" customFormat="1" ht="12.75" customHeight="1" x14ac:dyDescent="0.2">
      <c r="A69" s="30">
        <v>24</v>
      </c>
      <c r="B69" s="419" t="str">
        <f>"Total "&amp;A69</f>
        <v>Total 24</v>
      </c>
      <c r="C69" s="31" t="str">
        <f>IF(AND(C62=0,C63=0,C64=0,C65=0,C66=0,C67=0,C68=0),"",SUM(C62:C68))</f>
        <v/>
      </c>
      <c r="D69" s="31" t="str">
        <f>IF(AND(D62=0,D63=0,D64=0,D65=0,D66=0,D67=0,D68=0),"",SUM(D62:D68))</f>
        <v/>
      </c>
      <c r="E69" s="31">
        <f>IF(AND(E62=0,E63=0,E64=0,E65=0,E66=0,E67=0,E68=0),0,SUM(E62:E68))</f>
        <v>0</v>
      </c>
      <c r="F69" s="31">
        <f>IF(AND(F62=0,F63=0,F64=0,F65=0,F66=0,F67=0,F68=0),0,SUM(F62:F68))</f>
        <v>0</v>
      </c>
      <c r="G69" s="32" t="str">
        <f>IF(AND(G62=0,G63=0,G64=0,G65=0,G66=0,G67=0,G68=0),"",AVERAGE(G62:G68))</f>
        <v/>
      </c>
      <c r="H69" s="31">
        <f>IF(AND(H62=0,H63=0,H64=0,H65=0,H66=0,H67=0,H68=0),0,SUM(H62:H68))</f>
        <v>0</v>
      </c>
      <c r="I69" s="31" t="str">
        <f>IF(AND(I62=0,I63=0,I64=0,I65=0,I66=0,I67=0,I68=0),"",SUM(I62:I68))</f>
        <v/>
      </c>
      <c r="J69" s="31">
        <f>IF(AND(J62=0,J63=0,J64=0,J65=0,J66=0,J67=0,J68=0),0,AVERAGE(J62:J68))</f>
        <v>0</v>
      </c>
    </row>
    <row r="70" spans="1:10" s="176" customFormat="1" ht="12.75" customHeight="1" x14ac:dyDescent="0.2">
      <c r="A70" s="58">
        <f>A62+1</f>
        <v>25</v>
      </c>
      <c r="B70" s="420" t="str">
        <f>IF(B68&lt;&gt;"",B68+1,"")</f>
        <v/>
      </c>
      <c r="C70" s="218"/>
      <c r="D70" s="218"/>
      <c r="E70" s="218"/>
      <c r="F70" s="218"/>
      <c r="G70" s="219"/>
      <c r="H70" s="218"/>
      <c r="I70" s="218"/>
      <c r="J70" s="218"/>
    </row>
    <row r="71" spans="1:10" s="176" customFormat="1" ht="12.75" customHeight="1" x14ac:dyDescent="0.2">
      <c r="A71" s="58">
        <f t="shared" ref="A71:A76" si="9">A63+1</f>
        <v>25</v>
      </c>
      <c r="B71" s="420" t="str">
        <f t="shared" ref="B71:B76" si="10">IF(B70&lt;&gt;"",B70+1,"")</f>
        <v/>
      </c>
      <c r="C71" s="218"/>
      <c r="D71" s="218"/>
      <c r="E71" s="218"/>
      <c r="F71" s="218"/>
      <c r="G71" s="219"/>
      <c r="H71" s="218"/>
      <c r="I71" s="218"/>
      <c r="J71" s="218"/>
    </row>
    <row r="72" spans="1:10" s="176" customFormat="1" ht="12.75" customHeight="1" x14ac:dyDescent="0.2">
      <c r="A72" s="58">
        <f t="shared" si="9"/>
        <v>25</v>
      </c>
      <c r="B72" s="420" t="str">
        <f t="shared" si="10"/>
        <v/>
      </c>
      <c r="C72" s="218"/>
      <c r="D72" s="218"/>
      <c r="E72" s="218"/>
      <c r="F72" s="218"/>
      <c r="G72" s="219"/>
      <c r="H72" s="218"/>
      <c r="I72" s="218"/>
      <c r="J72" s="218"/>
    </row>
    <row r="73" spans="1:10" s="176" customFormat="1" ht="12.75" customHeight="1" x14ac:dyDescent="0.2">
      <c r="A73" s="59">
        <f t="shared" si="9"/>
        <v>25</v>
      </c>
      <c r="B73" s="420" t="str">
        <f t="shared" si="10"/>
        <v/>
      </c>
      <c r="C73" s="220"/>
      <c r="D73" s="220"/>
      <c r="E73" s="220"/>
      <c r="F73" s="220"/>
      <c r="G73" s="221"/>
      <c r="H73" s="220"/>
      <c r="I73" s="220"/>
      <c r="J73" s="220"/>
    </row>
    <row r="74" spans="1:10" s="176" customFormat="1" ht="12.75" customHeight="1" x14ac:dyDescent="0.2">
      <c r="A74" s="59">
        <f t="shared" si="9"/>
        <v>25</v>
      </c>
      <c r="B74" s="420" t="str">
        <f t="shared" si="10"/>
        <v/>
      </c>
      <c r="C74" s="220"/>
      <c r="D74" s="220"/>
      <c r="E74" s="220"/>
      <c r="F74" s="220"/>
      <c r="G74" s="221"/>
      <c r="H74" s="220"/>
      <c r="I74" s="220"/>
      <c r="J74" s="220"/>
    </row>
    <row r="75" spans="1:10" s="176" customFormat="1" ht="12.75" customHeight="1" x14ac:dyDescent="0.2">
      <c r="A75" s="59">
        <f t="shared" si="9"/>
        <v>25</v>
      </c>
      <c r="B75" s="420" t="str">
        <f t="shared" si="10"/>
        <v/>
      </c>
      <c r="C75" s="220"/>
      <c r="D75" s="220"/>
      <c r="E75" s="220"/>
      <c r="F75" s="220"/>
      <c r="G75" s="221"/>
      <c r="H75" s="220"/>
      <c r="I75" s="220"/>
      <c r="J75" s="220"/>
    </row>
    <row r="76" spans="1:10" s="176" customFormat="1" ht="12.75" customHeight="1" x14ac:dyDescent="0.2">
      <c r="A76" s="60">
        <f t="shared" si="9"/>
        <v>25</v>
      </c>
      <c r="B76" s="420" t="str">
        <f t="shared" si="10"/>
        <v/>
      </c>
      <c r="C76" s="222"/>
      <c r="D76" s="222"/>
      <c r="E76" s="222"/>
      <c r="F76" s="222"/>
      <c r="G76" s="223"/>
      <c r="H76" s="222"/>
      <c r="I76" s="222"/>
      <c r="J76" s="222"/>
    </row>
    <row r="77" spans="1:10" s="176" customFormat="1" ht="14.25" customHeight="1" x14ac:dyDescent="0.2">
      <c r="A77" s="30">
        <v>25</v>
      </c>
      <c r="B77" s="419" t="str">
        <f>"Total "&amp;A77</f>
        <v>Total 25</v>
      </c>
      <c r="C77" s="31" t="str">
        <f>IF(AND(C70=0,C71=0,C72=0,C73=0,C74=0,C75=0,C76=0),"",SUM(C70:C76))</f>
        <v/>
      </c>
      <c r="D77" s="31" t="str">
        <f>IF(AND(D70=0,D71=0,D72=0,D73=0,D74=0,D75=0,D76=0),"",SUM(D70:D76))</f>
        <v/>
      </c>
      <c r="E77" s="31">
        <f>IF(AND(E70=0,E71=0,E72=0,E73=0,E74=0,E75=0,E76=0),0,SUM(E70:E76))</f>
        <v>0</v>
      </c>
      <c r="F77" s="31">
        <f>IF(AND(F70=0,F71=0,F72=0,F73=0,F74=0,F75=0,F76=0),0,SUM(F70:F76))</f>
        <v>0</v>
      </c>
      <c r="G77" s="32" t="str">
        <f>IF(AND(G70=0,G71=0,G72=0,G73=0,G74=0,G75=0,G76=0),"",AVERAGE(G70:G76))</f>
        <v/>
      </c>
      <c r="H77" s="31">
        <f>IF(AND(H70=0,H71=0,H72=0,H73=0,H74=0,H75=0,H76=0),0,SUM(H70:H76))</f>
        <v>0</v>
      </c>
      <c r="I77" s="31" t="str">
        <f>IF(AND(I70=0,I71=0,I72=0,I73=0,I74=0,I75=0,I76=0),"",SUM(I70:I76))</f>
        <v/>
      </c>
      <c r="J77" s="31">
        <f>IF(AND(J70=0,J71=0,J72=0,J73=0,J74=0,J75=0,J76=0),0,AVERAGE(J70:J76))</f>
        <v>0</v>
      </c>
    </row>
    <row r="78" spans="1:10" s="176" customFormat="1" ht="12.75" customHeight="1" x14ac:dyDescent="0.2">
      <c r="A78" s="58">
        <f t="shared" ref="A78:A83" si="11">A71+1</f>
        <v>26</v>
      </c>
      <c r="B78" s="420" t="str">
        <f>IF(B76&lt;&gt;"",B76+1,"")</f>
        <v/>
      </c>
      <c r="C78" s="218"/>
      <c r="D78" s="218"/>
      <c r="E78" s="218"/>
      <c r="F78" s="218"/>
      <c r="G78" s="219"/>
      <c r="H78" s="218"/>
      <c r="I78" s="218"/>
      <c r="J78" s="218"/>
    </row>
    <row r="79" spans="1:10" s="176" customFormat="1" ht="12.75" customHeight="1" x14ac:dyDescent="0.2">
      <c r="A79" s="58">
        <f t="shared" si="11"/>
        <v>26</v>
      </c>
      <c r="B79" s="420" t="str">
        <f t="shared" ref="B79:B84" si="12">IF(B78&lt;&gt;"",B78+1,"")</f>
        <v/>
      </c>
      <c r="C79" s="218"/>
      <c r="D79" s="218"/>
      <c r="E79" s="218"/>
      <c r="F79" s="218"/>
      <c r="G79" s="219"/>
      <c r="H79" s="218"/>
      <c r="I79" s="218"/>
      <c r="J79" s="218"/>
    </row>
    <row r="80" spans="1:10" s="176" customFormat="1" ht="12.75" customHeight="1" x14ac:dyDescent="0.2">
      <c r="A80" s="58">
        <f t="shared" si="11"/>
        <v>26</v>
      </c>
      <c r="B80" s="420" t="str">
        <f t="shared" si="12"/>
        <v/>
      </c>
      <c r="C80" s="218"/>
      <c r="D80" s="218"/>
      <c r="E80" s="218"/>
      <c r="F80" s="218"/>
      <c r="G80" s="219"/>
      <c r="H80" s="218"/>
      <c r="I80" s="218"/>
      <c r="J80" s="218"/>
    </row>
    <row r="81" spans="1:10" s="176" customFormat="1" ht="12.75" customHeight="1" x14ac:dyDescent="0.2">
      <c r="A81" s="59">
        <f t="shared" si="11"/>
        <v>26</v>
      </c>
      <c r="B81" s="420" t="str">
        <f t="shared" si="12"/>
        <v/>
      </c>
      <c r="C81" s="220"/>
      <c r="D81" s="220"/>
      <c r="E81" s="220"/>
      <c r="F81" s="220"/>
      <c r="G81" s="221"/>
      <c r="H81" s="220"/>
      <c r="I81" s="220"/>
      <c r="J81" s="220"/>
    </row>
    <row r="82" spans="1:10" s="176" customFormat="1" ht="12.75" customHeight="1" x14ac:dyDescent="0.2">
      <c r="A82" s="59">
        <f t="shared" si="11"/>
        <v>26</v>
      </c>
      <c r="B82" s="420" t="str">
        <f t="shared" si="12"/>
        <v/>
      </c>
      <c r="C82" s="220"/>
      <c r="D82" s="220"/>
      <c r="E82" s="220"/>
      <c r="F82" s="220"/>
      <c r="G82" s="221"/>
      <c r="H82" s="220"/>
      <c r="I82" s="220"/>
      <c r="J82" s="220"/>
    </row>
    <row r="83" spans="1:10" s="176" customFormat="1" ht="12.75" customHeight="1" x14ac:dyDescent="0.2">
      <c r="A83" s="59">
        <f t="shared" si="11"/>
        <v>26</v>
      </c>
      <c r="B83" s="420" t="str">
        <f t="shared" si="12"/>
        <v/>
      </c>
      <c r="C83" s="220"/>
      <c r="D83" s="220"/>
      <c r="E83" s="220"/>
      <c r="F83" s="220"/>
      <c r="G83" s="221"/>
      <c r="H83" s="220"/>
      <c r="I83" s="220"/>
      <c r="J83" s="220"/>
    </row>
    <row r="84" spans="1:10" s="176" customFormat="1" ht="12.75" customHeight="1" x14ac:dyDescent="0.2">
      <c r="A84" s="60">
        <v>26</v>
      </c>
      <c r="B84" s="420" t="str">
        <f t="shared" si="12"/>
        <v/>
      </c>
      <c r="C84" s="222"/>
      <c r="D84" s="222"/>
      <c r="E84" s="222"/>
      <c r="F84" s="222"/>
      <c r="G84" s="223"/>
      <c r="H84" s="222"/>
      <c r="I84" s="222"/>
      <c r="J84" s="222"/>
    </row>
    <row r="85" spans="1:10" s="176" customFormat="1" ht="14.25" customHeight="1" x14ac:dyDescent="0.2">
      <c r="A85" s="30">
        <v>26</v>
      </c>
      <c r="B85" s="419" t="str">
        <f>"Total "&amp;A85</f>
        <v>Total 26</v>
      </c>
      <c r="C85" s="31" t="str">
        <f>IF(AND(C78=0,C79=0,C80=0,C81=0,C82=0,C83=0,C84=0),"",SUM(C78:C84))</f>
        <v/>
      </c>
      <c r="D85" s="31" t="str">
        <f>IF(AND(D78=0,D79=0,D80=0,D81=0,D82=0,D83=0,D84=0),"",SUM(D78:D84))</f>
        <v/>
      </c>
      <c r="E85" s="31">
        <f>IF(AND(E78=0,E79=0,E80=0,E81=0,E82=0,E83=0,E84=0),0,SUM(E78:E84))</f>
        <v>0</v>
      </c>
      <c r="F85" s="31">
        <f>IF(AND(F78=0,F79=0,F80=0,F81=0,F82=0,F83=0,F84=0),0,SUM(F78:F84))</f>
        <v>0</v>
      </c>
      <c r="G85" s="32" t="str">
        <f>IF(AND(G78=0,G79=0,G80=0,G81=0,G82=0,G83=0,G84=0),"",AVERAGE(G78:G84))</f>
        <v/>
      </c>
      <c r="H85" s="31">
        <f>IF(AND(H78=0,H79=0,H80=0,H81=0,H82=0,H83=0,H84=0),0,SUM(H78:H84))</f>
        <v>0</v>
      </c>
      <c r="I85" s="31" t="str">
        <f>IF(AND(I78=0,I79=0,I80=0,I81=0,I82=0,I83=0,I84=0),"",SUM(I78:I84))</f>
        <v/>
      </c>
      <c r="J85" s="31">
        <f>IF(AND(J78=0,J79=0,J80=0,J81=0,J82=0,J83=0,J84=0),0,AVERAGE(J78:J84))</f>
        <v>0</v>
      </c>
    </row>
    <row r="86" spans="1:10" s="176" customFormat="1" ht="12.75" customHeight="1" x14ac:dyDescent="0.2">
      <c r="A86" s="58">
        <f t="shared" ref="A86:A91" si="13">A78+1</f>
        <v>27</v>
      </c>
      <c r="B86" s="420" t="str">
        <f>IF(B84&lt;&gt;"",B84+1,"")</f>
        <v/>
      </c>
      <c r="C86" s="218"/>
      <c r="D86" s="218"/>
      <c r="E86" s="218"/>
      <c r="F86" s="218"/>
      <c r="G86" s="219"/>
      <c r="H86" s="218"/>
      <c r="I86" s="218"/>
      <c r="J86" s="218"/>
    </row>
    <row r="87" spans="1:10" s="176" customFormat="1" ht="12.75" customHeight="1" x14ac:dyDescent="0.2">
      <c r="A87" s="58">
        <f t="shared" si="13"/>
        <v>27</v>
      </c>
      <c r="B87" s="420" t="str">
        <f t="shared" ref="B87:B92" si="14">IF(B86&lt;&gt;"",B86+1,"")</f>
        <v/>
      </c>
      <c r="C87" s="218"/>
      <c r="D87" s="218"/>
      <c r="E87" s="218"/>
      <c r="F87" s="218"/>
      <c r="G87" s="219"/>
      <c r="H87" s="218"/>
      <c r="I87" s="218"/>
      <c r="J87" s="218"/>
    </row>
    <row r="88" spans="1:10" s="176" customFormat="1" ht="12.75" customHeight="1" x14ac:dyDescent="0.2">
      <c r="A88" s="58">
        <f t="shared" si="13"/>
        <v>27</v>
      </c>
      <c r="B88" s="420" t="str">
        <f t="shared" si="14"/>
        <v/>
      </c>
      <c r="C88" s="218"/>
      <c r="D88" s="218"/>
      <c r="E88" s="218"/>
      <c r="F88" s="218"/>
      <c r="G88" s="219"/>
      <c r="H88" s="218"/>
      <c r="I88" s="218"/>
      <c r="J88" s="218"/>
    </row>
    <row r="89" spans="1:10" s="176" customFormat="1" ht="12.75" customHeight="1" x14ac:dyDescent="0.2">
      <c r="A89" s="59">
        <f t="shared" si="13"/>
        <v>27</v>
      </c>
      <c r="B89" s="420" t="str">
        <f t="shared" si="14"/>
        <v/>
      </c>
      <c r="C89" s="220"/>
      <c r="D89" s="220"/>
      <c r="E89" s="220"/>
      <c r="F89" s="220"/>
      <c r="G89" s="221"/>
      <c r="H89" s="220"/>
      <c r="I89" s="220"/>
      <c r="J89" s="220"/>
    </row>
    <row r="90" spans="1:10" s="176" customFormat="1" ht="12.75" customHeight="1" x14ac:dyDescent="0.2">
      <c r="A90" s="59">
        <f t="shared" si="13"/>
        <v>27</v>
      </c>
      <c r="B90" s="420" t="str">
        <f t="shared" si="14"/>
        <v/>
      </c>
      <c r="C90" s="220"/>
      <c r="D90" s="220"/>
      <c r="E90" s="220"/>
      <c r="F90" s="220"/>
      <c r="G90" s="221"/>
      <c r="H90" s="220"/>
      <c r="I90" s="220"/>
      <c r="J90" s="220"/>
    </row>
    <row r="91" spans="1:10" s="176" customFormat="1" ht="12.75" customHeight="1" x14ac:dyDescent="0.2">
      <c r="A91" s="59">
        <f t="shared" si="13"/>
        <v>27</v>
      </c>
      <c r="B91" s="420" t="str">
        <f t="shared" si="14"/>
        <v/>
      </c>
      <c r="C91" s="220"/>
      <c r="D91" s="220"/>
      <c r="E91" s="220"/>
      <c r="F91" s="220"/>
      <c r="G91" s="221"/>
      <c r="H91" s="220"/>
      <c r="I91" s="220"/>
      <c r="J91" s="220"/>
    </row>
    <row r="92" spans="1:10" s="176" customFormat="1" ht="12.75" customHeight="1" x14ac:dyDescent="0.2">
      <c r="A92" s="60">
        <v>27</v>
      </c>
      <c r="B92" s="420" t="str">
        <f t="shared" si="14"/>
        <v/>
      </c>
      <c r="C92" s="222"/>
      <c r="D92" s="222"/>
      <c r="E92" s="222"/>
      <c r="F92" s="222"/>
      <c r="G92" s="223"/>
      <c r="H92" s="222"/>
      <c r="I92" s="222"/>
      <c r="J92" s="222"/>
    </row>
    <row r="93" spans="1:10" s="176" customFormat="1" ht="14.25" customHeight="1" x14ac:dyDescent="0.2">
      <c r="A93" s="30">
        <v>27</v>
      </c>
      <c r="B93" s="419" t="str">
        <f>"Total "&amp;A93</f>
        <v>Total 27</v>
      </c>
      <c r="C93" s="31" t="str">
        <f>IF(AND(C86=0,C87=0,C88=0,C89=0,C90=0,C91=0,C92=0),"",SUM(C86:C92))</f>
        <v/>
      </c>
      <c r="D93" s="31" t="str">
        <f>IF(AND(D86=0,D87=0,D88=0,D89=0,D90=0,D91=0,D92=0),"",SUM(D86:D92))</f>
        <v/>
      </c>
      <c r="E93" s="31">
        <f>IF(AND(E86=0,E87=0,E88=0,E89=0,E90=0,E91=0,E92=0),0,SUM(E86:E92))</f>
        <v>0</v>
      </c>
      <c r="F93" s="31">
        <f>IF(AND(F86=0,F87=0,F88=0,F89=0,F90=0,F91=0,F92=0),0,SUM(F86:F92))</f>
        <v>0</v>
      </c>
      <c r="G93" s="32" t="str">
        <f>IF(AND(G86=0,G87=0,G88=0,G89=0,G90=0,G91=0,G92=0),"",AVERAGE(G86:G92))</f>
        <v/>
      </c>
      <c r="H93" s="31">
        <f>IF(AND(H86=0,H87=0,H88=0,H89=0,H90=0,H91=0,H92=0),0,SUM(H86:H92))</f>
        <v>0</v>
      </c>
      <c r="I93" s="31" t="str">
        <f>IF(AND(I86=0,I87=0,I88=0,I89=0,I90=0,I91=0,I92=0),"",SUM(I86:I92))</f>
        <v/>
      </c>
      <c r="J93" s="31">
        <f>IF(AND(J86=0,J87=0,J88=0,J89=0,J90=0,J91=0,J92=0),0,AVERAGE(J86:J92))</f>
        <v>0</v>
      </c>
    </row>
    <row r="94" spans="1:10" s="176" customFormat="1" ht="12.75" customHeight="1" x14ac:dyDescent="0.2">
      <c r="A94" s="58">
        <f t="shared" ref="A94:A100" si="15">A86+1</f>
        <v>28</v>
      </c>
      <c r="B94" s="420" t="str">
        <f>IF(B92&lt;&gt;"",B92+1,"")</f>
        <v/>
      </c>
      <c r="C94" s="218"/>
      <c r="D94" s="218"/>
      <c r="E94" s="218"/>
      <c r="F94" s="218"/>
      <c r="G94" s="219"/>
      <c r="H94" s="218"/>
      <c r="I94" s="218"/>
      <c r="J94" s="218"/>
    </row>
    <row r="95" spans="1:10" s="176" customFormat="1" ht="12.75" customHeight="1" x14ac:dyDescent="0.2">
      <c r="A95" s="58">
        <f t="shared" si="15"/>
        <v>28</v>
      </c>
      <c r="B95" s="420" t="str">
        <f t="shared" ref="B95:B100" si="16">IF(B94&lt;&gt;"",B94+1,"")</f>
        <v/>
      </c>
      <c r="C95" s="218"/>
      <c r="D95" s="218"/>
      <c r="E95" s="218"/>
      <c r="F95" s="218"/>
      <c r="G95" s="219"/>
      <c r="H95" s="218"/>
      <c r="I95" s="218"/>
      <c r="J95" s="218"/>
    </row>
    <row r="96" spans="1:10" s="176" customFormat="1" ht="12.75" customHeight="1" x14ac:dyDescent="0.2">
      <c r="A96" s="58">
        <f t="shared" si="15"/>
        <v>28</v>
      </c>
      <c r="B96" s="420" t="str">
        <f t="shared" si="16"/>
        <v/>
      </c>
      <c r="C96" s="218"/>
      <c r="D96" s="218"/>
      <c r="E96" s="218"/>
      <c r="F96" s="218"/>
      <c r="G96" s="219"/>
      <c r="H96" s="218"/>
      <c r="I96" s="218"/>
      <c r="J96" s="218"/>
    </row>
    <row r="97" spans="1:10" ht="12.75" customHeight="1" x14ac:dyDescent="0.2">
      <c r="A97" s="59">
        <f t="shared" si="15"/>
        <v>28</v>
      </c>
      <c r="B97" s="420" t="str">
        <f t="shared" si="16"/>
        <v/>
      </c>
      <c r="C97" s="220"/>
      <c r="D97" s="220"/>
      <c r="E97" s="220"/>
      <c r="F97" s="220"/>
      <c r="G97" s="221"/>
      <c r="H97" s="220"/>
      <c r="I97" s="220"/>
      <c r="J97" s="220"/>
    </row>
    <row r="98" spans="1:10" ht="12.75" customHeight="1" x14ac:dyDescent="0.2">
      <c r="A98" s="59">
        <f t="shared" si="15"/>
        <v>28</v>
      </c>
      <c r="B98" s="420" t="str">
        <f t="shared" si="16"/>
        <v/>
      </c>
      <c r="C98" s="220"/>
      <c r="D98" s="220"/>
      <c r="E98" s="220"/>
      <c r="F98" s="220"/>
      <c r="G98" s="221"/>
      <c r="H98" s="220"/>
      <c r="I98" s="220"/>
      <c r="J98" s="220"/>
    </row>
    <row r="99" spans="1:10" ht="12.75" customHeight="1" x14ac:dyDescent="0.2">
      <c r="A99" s="59">
        <f t="shared" si="15"/>
        <v>28</v>
      </c>
      <c r="B99" s="420" t="str">
        <f t="shared" si="16"/>
        <v/>
      </c>
      <c r="C99" s="220"/>
      <c r="D99" s="220"/>
      <c r="E99" s="220"/>
      <c r="F99" s="220"/>
      <c r="G99" s="221"/>
      <c r="H99" s="220"/>
      <c r="I99" s="220"/>
      <c r="J99" s="220"/>
    </row>
    <row r="100" spans="1:10" ht="12.75" customHeight="1" x14ac:dyDescent="0.2">
      <c r="A100" s="60">
        <f t="shared" si="15"/>
        <v>28</v>
      </c>
      <c r="B100" s="420" t="str">
        <f t="shared" si="16"/>
        <v/>
      </c>
      <c r="C100" s="222"/>
      <c r="D100" s="222"/>
      <c r="E100" s="222"/>
      <c r="F100" s="222"/>
      <c r="G100" s="223"/>
      <c r="H100" s="222"/>
      <c r="I100" s="222"/>
      <c r="J100" s="222"/>
    </row>
    <row r="101" spans="1:10" ht="14.25" customHeight="1" x14ac:dyDescent="0.2">
      <c r="A101" s="30">
        <v>28</v>
      </c>
      <c r="B101" s="419" t="str">
        <f>"Total "&amp;A101</f>
        <v>Total 28</v>
      </c>
      <c r="C101" s="31" t="str">
        <f>IF(AND(C94=0,C95=0,C96=0,C97=0,C98=0,C99=0,C100=0),"",SUM(C94:C100))</f>
        <v/>
      </c>
      <c r="D101" s="31" t="str">
        <f>IF(AND(D94=0,D95=0,D96=0,D97=0,D98=0,D99=0,D100=0),"",SUM(D94:D100))</f>
        <v/>
      </c>
      <c r="E101" s="31">
        <f>IF(AND(E94=0,E95=0,E96=0,E97=0,E98=0,E99=0,E100=0),0,SUM(E94:E100))</f>
        <v>0</v>
      </c>
      <c r="F101" s="31">
        <f>IF(AND(F94=0,F95=0,F96=0,F97=0,F98=0,F99=0,F100=0),0,SUM(F94:F100))</f>
        <v>0</v>
      </c>
      <c r="G101" s="32" t="str">
        <f>IF(AND(G94=0,G95=0,G96=0,G97=0,G98=0,G99=0,G100=0),"",AVERAGE(G94:G100))</f>
        <v/>
      </c>
      <c r="H101" s="31">
        <f>IF(AND(H94=0,H95=0,H96=0,H97=0,H98=0,H99=0,H100=0),0,SUM(H94:H100))</f>
        <v>0</v>
      </c>
      <c r="I101" s="31" t="str">
        <f>IF(AND(I94=0,I95=0,I96=0,I97=0,I98=0,I99=0,I100=0),"",SUM(I94:I100))</f>
        <v/>
      </c>
      <c r="J101" s="31">
        <f>IF(AND(J94=0,J95=0,J96=0,J97=0,J98=0,J99=0,J100=0),0,AVERAGE(J94:J100))</f>
        <v>0</v>
      </c>
    </row>
    <row r="102" spans="1:10" s="176" customFormat="1" ht="9.75" customHeight="1" x14ac:dyDescent="0.2">
      <c r="A102" s="58">
        <f t="shared" ref="A102:A108" si="17">A94+1</f>
        <v>29</v>
      </c>
      <c r="B102" s="420" t="str">
        <f>IF(B100&lt;&gt;"",B100+1,"")</f>
        <v/>
      </c>
      <c r="C102" s="218"/>
      <c r="D102" s="218"/>
      <c r="E102" s="218"/>
      <c r="F102" s="218"/>
      <c r="G102" s="219"/>
      <c r="H102" s="218"/>
      <c r="I102" s="218"/>
      <c r="J102" s="218"/>
    </row>
    <row r="103" spans="1:10" s="176" customFormat="1" ht="12.75" customHeight="1" x14ac:dyDescent="0.2">
      <c r="A103" s="58">
        <f t="shared" si="17"/>
        <v>29</v>
      </c>
      <c r="B103" s="420" t="str">
        <f t="shared" ref="B103:B108" si="18">IF(B102&lt;&gt;"",B102+1,"")</f>
        <v/>
      </c>
      <c r="C103" s="218"/>
      <c r="D103" s="218"/>
      <c r="E103" s="218"/>
      <c r="F103" s="218"/>
      <c r="G103" s="219"/>
      <c r="H103" s="218"/>
      <c r="I103" s="218"/>
      <c r="J103" s="218"/>
    </row>
    <row r="104" spans="1:10" s="176" customFormat="1" ht="12.75" customHeight="1" x14ac:dyDescent="0.2">
      <c r="A104" s="58">
        <f t="shared" si="17"/>
        <v>29</v>
      </c>
      <c r="B104" s="420" t="str">
        <f t="shared" si="18"/>
        <v/>
      </c>
      <c r="C104" s="218"/>
      <c r="D104" s="218"/>
      <c r="E104" s="218"/>
      <c r="F104" s="218"/>
      <c r="G104" s="219"/>
      <c r="H104" s="218"/>
      <c r="I104" s="218"/>
      <c r="J104" s="218"/>
    </row>
    <row r="105" spans="1:10" ht="12.75" customHeight="1" x14ac:dyDescent="0.2">
      <c r="A105" s="59">
        <f t="shared" si="17"/>
        <v>29</v>
      </c>
      <c r="B105" s="420" t="str">
        <f t="shared" si="18"/>
        <v/>
      </c>
      <c r="C105" s="220"/>
      <c r="D105" s="220"/>
      <c r="E105" s="220"/>
      <c r="F105" s="220"/>
      <c r="G105" s="221"/>
      <c r="H105" s="220"/>
      <c r="I105" s="220"/>
      <c r="J105" s="220"/>
    </row>
    <row r="106" spans="1:10" ht="12.75" customHeight="1" x14ac:dyDescent="0.2">
      <c r="A106" s="59">
        <f t="shared" si="17"/>
        <v>29</v>
      </c>
      <c r="B106" s="420" t="str">
        <f t="shared" si="18"/>
        <v/>
      </c>
      <c r="C106" s="220"/>
      <c r="D106" s="220"/>
      <c r="E106" s="220"/>
      <c r="F106" s="220"/>
      <c r="G106" s="221"/>
      <c r="H106" s="220"/>
      <c r="I106" s="220"/>
      <c r="J106" s="220"/>
    </row>
    <row r="107" spans="1:10" ht="12.75" customHeight="1" x14ac:dyDescent="0.2">
      <c r="A107" s="59">
        <f t="shared" si="17"/>
        <v>29</v>
      </c>
      <c r="B107" s="420" t="str">
        <f t="shared" si="18"/>
        <v/>
      </c>
      <c r="C107" s="220"/>
      <c r="D107" s="220"/>
      <c r="E107" s="220"/>
      <c r="F107" s="220"/>
      <c r="G107" s="221"/>
      <c r="H107" s="220"/>
      <c r="I107" s="220"/>
      <c r="J107" s="220"/>
    </row>
    <row r="108" spans="1:10" ht="12.75" customHeight="1" x14ac:dyDescent="0.2">
      <c r="A108" s="60">
        <f t="shared" si="17"/>
        <v>29</v>
      </c>
      <c r="B108" s="420" t="str">
        <f t="shared" si="18"/>
        <v/>
      </c>
      <c r="C108" s="222"/>
      <c r="D108" s="222"/>
      <c r="E108" s="222"/>
      <c r="F108" s="222"/>
      <c r="G108" s="223"/>
      <c r="H108" s="222"/>
      <c r="I108" s="222"/>
      <c r="J108" s="222"/>
    </row>
    <row r="109" spans="1:10" x14ac:dyDescent="0.2">
      <c r="A109" s="30">
        <v>29</v>
      </c>
      <c r="B109" s="419" t="str">
        <f>"Total "&amp;A109</f>
        <v>Total 29</v>
      </c>
      <c r="C109" s="31" t="str">
        <f>IF(AND(C102=0,C103=0,C104=0,C105=0,C106=0,C107=0,C108=0),"",SUM(C102:C108))</f>
        <v/>
      </c>
      <c r="D109" s="31" t="str">
        <f>IF(AND(D102=0,D103=0,D104=0,D105=0,D106=0,D107=0,D108=0),"",SUM(D102:D108))</f>
        <v/>
      </c>
      <c r="E109" s="31">
        <f>IF(AND(E102=0,E103=0,E104=0,E105=0,E106=0,E107=0,E108=0),0,SUM(E102:E108))</f>
        <v>0</v>
      </c>
      <c r="F109" s="31">
        <f>IF(AND(F102=0,F103=0,F104=0,F105=0,F106=0,F107=0,F108=0),0,SUM(F102:F108))</f>
        <v>0</v>
      </c>
      <c r="G109" s="32" t="str">
        <f>IF(AND(G102=0,G103=0,G104=0,G105=0,G106=0,G107=0,G108=0),"",AVERAGE(G102:G108))</f>
        <v/>
      </c>
      <c r="H109" s="31">
        <f>IF(AND(H102=0,H103=0,H104=0,H105=0,H106=0,H107=0,H108=0),0,SUM(H102:H108))</f>
        <v>0</v>
      </c>
      <c r="I109" s="31" t="str">
        <f>IF(AND(I102=0,I103=0,I104=0,I105=0,I106=0,I107=0,I108=0),"",SUM(I102:I108))</f>
        <v/>
      </c>
      <c r="J109" s="31">
        <f>IF(AND(J102=0,J103=0,J104=0,J105=0,J106=0,J107=0,J108=0),0,AVERAGE(J102:J108))</f>
        <v>0</v>
      </c>
    </row>
    <row r="110" spans="1:10" x14ac:dyDescent="0.2">
      <c r="A110" s="58">
        <f t="shared" ref="A110:A116" si="19">A102+1</f>
        <v>30</v>
      </c>
      <c r="B110" s="420" t="str">
        <f>IF(B108&lt;&gt;"",B108+1,"")</f>
        <v/>
      </c>
      <c r="C110" s="218"/>
      <c r="D110" s="218"/>
      <c r="E110" s="218"/>
      <c r="F110" s="218"/>
      <c r="G110" s="219"/>
      <c r="H110" s="218"/>
      <c r="I110" s="218"/>
      <c r="J110" s="218"/>
    </row>
    <row r="111" spans="1:10" x14ac:dyDescent="0.2">
      <c r="A111" s="58">
        <f t="shared" si="19"/>
        <v>30</v>
      </c>
      <c r="B111" s="420" t="str">
        <f t="shared" ref="B111:B116" si="20">IF(B110&lt;&gt;"",B110+1,"")</f>
        <v/>
      </c>
      <c r="C111" s="218"/>
      <c r="D111" s="218"/>
      <c r="E111" s="218"/>
      <c r="F111" s="218"/>
      <c r="G111" s="219"/>
      <c r="H111" s="218"/>
      <c r="I111" s="218"/>
      <c r="J111" s="218"/>
    </row>
    <row r="112" spans="1:10" x14ac:dyDescent="0.2">
      <c r="A112" s="58">
        <f t="shared" si="19"/>
        <v>30</v>
      </c>
      <c r="B112" s="420" t="str">
        <f t="shared" si="20"/>
        <v/>
      </c>
      <c r="C112" s="218"/>
      <c r="D112" s="218"/>
      <c r="E112" s="218"/>
      <c r="F112" s="218"/>
      <c r="G112" s="219"/>
      <c r="H112" s="218"/>
      <c r="I112" s="218"/>
      <c r="J112" s="218"/>
    </row>
    <row r="113" spans="1:10" x14ac:dyDescent="0.2">
      <c r="A113" s="59">
        <f t="shared" si="19"/>
        <v>30</v>
      </c>
      <c r="B113" s="420" t="str">
        <f t="shared" si="20"/>
        <v/>
      </c>
      <c r="C113" s="220"/>
      <c r="D113" s="220"/>
      <c r="E113" s="220"/>
      <c r="F113" s="220"/>
      <c r="G113" s="221"/>
      <c r="H113" s="220"/>
      <c r="I113" s="220"/>
      <c r="J113" s="220"/>
    </row>
    <row r="114" spans="1:10" x14ac:dyDescent="0.2">
      <c r="A114" s="59">
        <f t="shared" si="19"/>
        <v>30</v>
      </c>
      <c r="B114" s="420" t="str">
        <f t="shared" si="20"/>
        <v/>
      </c>
      <c r="C114" s="220"/>
      <c r="D114" s="220"/>
      <c r="E114" s="220"/>
      <c r="F114" s="220"/>
      <c r="G114" s="221"/>
      <c r="H114" s="220"/>
      <c r="I114" s="220"/>
      <c r="J114" s="220"/>
    </row>
    <row r="115" spans="1:10" x14ac:dyDescent="0.2">
      <c r="A115" s="59">
        <f t="shared" si="19"/>
        <v>30</v>
      </c>
      <c r="B115" s="420" t="str">
        <f t="shared" si="20"/>
        <v/>
      </c>
      <c r="C115" s="220"/>
      <c r="D115" s="220"/>
      <c r="E115" s="220"/>
      <c r="F115" s="220"/>
      <c r="G115" s="221"/>
      <c r="H115" s="220"/>
      <c r="I115" s="220"/>
      <c r="J115" s="220"/>
    </row>
    <row r="116" spans="1:10" x14ac:dyDescent="0.2">
      <c r="A116" s="60">
        <f t="shared" si="19"/>
        <v>30</v>
      </c>
      <c r="B116" s="420" t="str">
        <f t="shared" si="20"/>
        <v/>
      </c>
      <c r="C116" s="222"/>
      <c r="D116" s="222"/>
      <c r="E116" s="222"/>
      <c r="F116" s="222"/>
      <c r="G116" s="223"/>
      <c r="H116" s="222"/>
      <c r="I116" s="222"/>
      <c r="J116" s="222"/>
    </row>
    <row r="117" spans="1:10" x14ac:dyDescent="0.2">
      <c r="A117" s="30">
        <v>30</v>
      </c>
      <c r="B117" s="419" t="str">
        <f>"Total "&amp;A117</f>
        <v>Total 30</v>
      </c>
      <c r="C117" s="31" t="str">
        <f>IF(AND(C110=0,C111=0,C112=0,C113=0,C114=0,C115=0,C116=0),"",SUM(C110:C116))</f>
        <v/>
      </c>
      <c r="D117" s="31" t="str">
        <f>IF(AND(D110=0,D111=0,D112=0,D113=0,D114=0,D115=0,D116=0),"",SUM(D110:D116))</f>
        <v/>
      </c>
      <c r="E117" s="31">
        <f>IF(AND(E110=0,E111=0,E112=0,E113=0,E114=0,E115=0,E116=0),0,SUM(E110:E116))</f>
        <v>0</v>
      </c>
      <c r="F117" s="31">
        <f>IF(AND(F110=0,F111=0,F112=0,F113=0,F114=0,F115=0,F116=0),0,SUM(F110:F116))</f>
        <v>0</v>
      </c>
      <c r="G117" s="32" t="str">
        <f>IF(AND(G110=0,G111=0,G112=0,G113=0,G114=0,G115=0,G116=0),"",AVERAGE(G110:G116))</f>
        <v/>
      </c>
      <c r="H117" s="31">
        <f>IF(AND(H110=0,H111=0,H112=0,H113=0,H114=0,H115=0,H116=0),0,SUM(H110:H116))</f>
        <v>0</v>
      </c>
      <c r="I117" s="31" t="str">
        <f>IF(AND(I110=0,I111=0,I112=0,I113=0,I114=0,I115=0,I116=0),"",SUM(I110:I116))</f>
        <v/>
      </c>
      <c r="J117" s="31">
        <f>IF(AND(J110=0,J111=0,J112=0,J113=0,J114=0,J115=0,J116=0),0,AVERAGE(J110:J116))</f>
        <v>0</v>
      </c>
    </row>
    <row r="118" spans="1:10" x14ac:dyDescent="0.2">
      <c r="A118" s="58">
        <f t="shared" ref="A118:A124" si="21">A110+1</f>
        <v>31</v>
      </c>
      <c r="B118" s="420" t="str">
        <f>IF(B116&lt;&gt;"",B116+1,"")</f>
        <v/>
      </c>
      <c r="C118" s="218"/>
      <c r="D118" s="218"/>
      <c r="E118" s="218"/>
      <c r="F118" s="218"/>
      <c r="G118" s="219"/>
      <c r="H118" s="218"/>
      <c r="I118" s="218"/>
      <c r="J118" s="218"/>
    </row>
    <row r="119" spans="1:10" x14ac:dyDescent="0.2">
      <c r="A119" s="58">
        <f t="shared" si="21"/>
        <v>31</v>
      </c>
      <c r="B119" s="420" t="str">
        <f t="shared" ref="B119:B124" si="22">IF(B118&lt;&gt;"",B118+1,"")</f>
        <v/>
      </c>
      <c r="C119" s="218"/>
      <c r="D119" s="218"/>
      <c r="E119" s="218"/>
      <c r="F119" s="218"/>
      <c r="G119" s="219"/>
      <c r="H119" s="218"/>
      <c r="I119" s="218"/>
      <c r="J119" s="218"/>
    </row>
    <row r="120" spans="1:10" x14ac:dyDescent="0.2">
      <c r="A120" s="58">
        <f t="shared" si="21"/>
        <v>31</v>
      </c>
      <c r="B120" s="420" t="str">
        <f t="shared" si="22"/>
        <v/>
      </c>
      <c r="C120" s="218"/>
      <c r="D120" s="218"/>
      <c r="E120" s="218"/>
      <c r="F120" s="218"/>
      <c r="G120" s="219"/>
      <c r="H120" s="218"/>
      <c r="I120" s="218"/>
      <c r="J120" s="218"/>
    </row>
    <row r="121" spans="1:10" x14ac:dyDescent="0.2">
      <c r="A121" s="59">
        <f t="shared" si="21"/>
        <v>31</v>
      </c>
      <c r="B121" s="420" t="str">
        <f t="shared" si="22"/>
        <v/>
      </c>
      <c r="C121" s="220"/>
      <c r="D121" s="220"/>
      <c r="E121" s="220"/>
      <c r="F121" s="220"/>
      <c r="G121" s="221"/>
      <c r="H121" s="220"/>
      <c r="I121" s="220"/>
      <c r="J121" s="220"/>
    </row>
    <row r="122" spans="1:10" x14ac:dyDescent="0.2">
      <c r="A122" s="59">
        <f t="shared" si="21"/>
        <v>31</v>
      </c>
      <c r="B122" s="420" t="str">
        <f t="shared" si="22"/>
        <v/>
      </c>
      <c r="C122" s="220"/>
      <c r="D122" s="220"/>
      <c r="E122" s="220"/>
      <c r="F122" s="220"/>
      <c r="G122" s="221"/>
      <c r="H122" s="220"/>
      <c r="I122" s="220"/>
      <c r="J122" s="220"/>
    </row>
    <row r="123" spans="1:10" x14ac:dyDescent="0.2">
      <c r="A123" s="59">
        <f t="shared" si="21"/>
        <v>31</v>
      </c>
      <c r="B123" s="420" t="str">
        <f t="shared" si="22"/>
        <v/>
      </c>
      <c r="C123" s="220"/>
      <c r="D123" s="220"/>
      <c r="E123" s="220"/>
      <c r="F123" s="220"/>
      <c r="G123" s="221"/>
      <c r="H123" s="220"/>
      <c r="I123" s="220"/>
      <c r="J123" s="220"/>
    </row>
    <row r="124" spans="1:10" x14ac:dyDescent="0.2">
      <c r="A124" s="60">
        <f t="shared" si="21"/>
        <v>31</v>
      </c>
      <c r="B124" s="420" t="str">
        <f t="shared" si="22"/>
        <v/>
      </c>
      <c r="C124" s="222"/>
      <c r="D124" s="222"/>
      <c r="E124" s="222"/>
      <c r="F124" s="222"/>
      <c r="G124" s="223"/>
      <c r="H124" s="222"/>
      <c r="I124" s="222"/>
      <c r="J124" s="222"/>
    </row>
    <row r="125" spans="1:10" x14ac:dyDescent="0.2">
      <c r="A125" s="30">
        <v>31</v>
      </c>
      <c r="B125" s="419" t="str">
        <f>"Total "&amp;A125</f>
        <v>Total 31</v>
      </c>
      <c r="C125" s="31" t="str">
        <f>IF(AND(C118=0,C119=0,C120=0,C121=0,C122=0,C123=0,C124=0),"",SUM(C118:C124))</f>
        <v/>
      </c>
      <c r="D125" s="31" t="str">
        <f>IF(AND(D118=0,D119=0,D120=0,D121=0,D122=0,D123=0,D124=0),"",SUM(D118:D124))</f>
        <v/>
      </c>
      <c r="E125" s="31">
        <f>IF(AND(E118=0,E119=0,E120=0,E121=0,E122=0,E123=0,E124=0),0,SUM(E118:E124))</f>
        <v>0</v>
      </c>
      <c r="F125" s="31">
        <f>IF(AND(F118=0,F119=0,F120=0,F121=0,F122=0,F123=0,F124=0),0,SUM(F118:F124))</f>
        <v>0</v>
      </c>
      <c r="G125" s="32" t="str">
        <f>IF(AND(G118=0,G119=0,G120=0,G121=0,G122=0,G123=0,G124=0),"",AVERAGE(G118:G124))</f>
        <v/>
      </c>
      <c r="H125" s="31">
        <f>IF(AND(H118=0,H119=0,H120=0,H121=0,H122=0,H123=0,H124=0),0,SUM(H118:H124))</f>
        <v>0</v>
      </c>
      <c r="I125" s="31" t="str">
        <f>IF(AND(I118=0,I119=0,I120=0,I121=0,I122=0,I123=0,I124=0),"",SUM(I118:I124))</f>
        <v/>
      </c>
      <c r="J125" s="31">
        <f>IF(AND(J118=0,J119=0,J120=0,J121=0,J122=0,J123=0,J124=0),0,AVERAGE(J118:J124))</f>
        <v>0</v>
      </c>
    </row>
    <row r="126" spans="1:10" x14ac:dyDescent="0.2">
      <c r="A126" s="58">
        <f t="shared" ref="A126:A132" si="23">A118+1</f>
        <v>32</v>
      </c>
      <c r="B126" s="420" t="str">
        <f>IF(B124&lt;&gt;"",B124+1,"")</f>
        <v/>
      </c>
      <c r="C126" s="218"/>
      <c r="D126" s="218"/>
      <c r="E126" s="218"/>
      <c r="F126" s="218"/>
      <c r="G126" s="219"/>
      <c r="H126" s="218"/>
      <c r="I126" s="218"/>
      <c r="J126" s="218"/>
    </row>
    <row r="127" spans="1:10" x14ac:dyDescent="0.2">
      <c r="A127" s="58">
        <f t="shared" si="23"/>
        <v>32</v>
      </c>
      <c r="B127" s="420" t="str">
        <f t="shared" ref="B127:B132" si="24">IF(B126&lt;&gt;"",B126+1,"")</f>
        <v/>
      </c>
      <c r="C127" s="218"/>
      <c r="D127" s="218"/>
      <c r="E127" s="218"/>
      <c r="F127" s="218"/>
      <c r="G127" s="219"/>
      <c r="H127" s="218"/>
      <c r="I127" s="218"/>
      <c r="J127" s="218"/>
    </row>
    <row r="128" spans="1:10" x14ac:dyDescent="0.2">
      <c r="A128" s="58">
        <f t="shared" si="23"/>
        <v>32</v>
      </c>
      <c r="B128" s="420" t="str">
        <f t="shared" si="24"/>
        <v/>
      </c>
      <c r="C128" s="218"/>
      <c r="D128" s="218"/>
      <c r="E128" s="218"/>
      <c r="F128" s="218"/>
      <c r="G128" s="219"/>
      <c r="H128" s="218"/>
      <c r="I128" s="218"/>
      <c r="J128" s="218"/>
    </row>
    <row r="129" spans="1:10" x14ac:dyDescent="0.2">
      <c r="A129" s="59">
        <f t="shared" si="23"/>
        <v>32</v>
      </c>
      <c r="B129" s="420" t="str">
        <f t="shared" si="24"/>
        <v/>
      </c>
      <c r="C129" s="220"/>
      <c r="D129" s="220"/>
      <c r="E129" s="220"/>
      <c r="F129" s="220"/>
      <c r="G129" s="221"/>
      <c r="H129" s="220"/>
      <c r="I129" s="220"/>
      <c r="J129" s="220"/>
    </row>
    <row r="130" spans="1:10" x14ac:dyDescent="0.2">
      <c r="A130" s="59">
        <f t="shared" si="23"/>
        <v>32</v>
      </c>
      <c r="B130" s="420" t="str">
        <f t="shared" si="24"/>
        <v/>
      </c>
      <c r="C130" s="220"/>
      <c r="D130" s="220"/>
      <c r="E130" s="220"/>
      <c r="F130" s="220"/>
      <c r="G130" s="221"/>
      <c r="H130" s="220"/>
      <c r="I130" s="220"/>
      <c r="J130" s="220"/>
    </row>
    <row r="131" spans="1:10" x14ac:dyDescent="0.2">
      <c r="A131" s="59">
        <f t="shared" si="23"/>
        <v>32</v>
      </c>
      <c r="B131" s="420" t="str">
        <f t="shared" si="24"/>
        <v/>
      </c>
      <c r="C131" s="220"/>
      <c r="D131" s="220"/>
      <c r="E131" s="220"/>
      <c r="F131" s="220"/>
      <c r="G131" s="221"/>
      <c r="H131" s="220"/>
      <c r="I131" s="220"/>
      <c r="J131" s="220"/>
    </row>
    <row r="132" spans="1:10" x14ac:dyDescent="0.2">
      <c r="A132" s="60">
        <f t="shared" si="23"/>
        <v>32</v>
      </c>
      <c r="B132" s="420" t="str">
        <f t="shared" si="24"/>
        <v/>
      </c>
      <c r="C132" s="222"/>
      <c r="D132" s="222"/>
      <c r="E132" s="222"/>
      <c r="F132" s="222"/>
      <c r="G132" s="223"/>
      <c r="H132" s="222"/>
      <c r="I132" s="222"/>
      <c r="J132" s="222"/>
    </row>
    <row r="133" spans="1:10" x14ac:dyDescent="0.2">
      <c r="A133" s="30">
        <v>32</v>
      </c>
      <c r="B133" s="419" t="str">
        <f>"Total "&amp;A133</f>
        <v>Total 32</v>
      </c>
      <c r="C133" s="31" t="str">
        <f>IF(AND(C126=0,C127=0,C128=0,C129=0,C130=0,C131=0,C132=0),"",SUM(C126:C132))</f>
        <v/>
      </c>
      <c r="D133" s="31" t="str">
        <f>IF(AND(D126=0,D127=0,D128=0,D129=0,D130=0,D131=0,D132=0),"",SUM(D126:D132))</f>
        <v/>
      </c>
      <c r="E133" s="31">
        <f>IF(AND(E126=0,E127=0,E128=0,E129=0,E130=0,E131=0,E132=0),0,SUM(E126:E132))</f>
        <v>0</v>
      </c>
      <c r="F133" s="31">
        <f>IF(AND(F126=0,F127=0,F128=0,F129=0,F130=0,F131=0,F132=0),0,SUM(F126:F132))</f>
        <v>0</v>
      </c>
      <c r="G133" s="32" t="str">
        <f>IF(AND(G126=0,G127=0,G128=0,G129=0,G130=0,G131=0,G132=0),"",AVERAGE(G126:G132))</f>
        <v/>
      </c>
      <c r="H133" s="31">
        <f>IF(AND(H126=0,H127=0,H128=0,H129=0,H130=0,H131=0,H132=0),0,SUM(H126:H132))</f>
        <v>0</v>
      </c>
      <c r="I133" s="31" t="str">
        <f>IF(AND(I126=0,I127=0,I128=0,I129=0,I130=0,I131=0,I132=0),"",SUM(I126:I132))</f>
        <v/>
      </c>
      <c r="J133" s="31">
        <f>IF(AND(J126=0,J127=0,J128=0,J129=0,J130=0,J131=0,J132=0),0,AVERAGE(J126:J132))</f>
        <v>0</v>
      </c>
    </row>
    <row r="134" spans="1:10" x14ac:dyDescent="0.2">
      <c r="A134" s="58">
        <f t="shared" ref="A134:A140" si="25">A126+1</f>
        <v>33</v>
      </c>
      <c r="B134" s="420" t="str">
        <f>IF(B132&lt;&gt;"",B132+1,"")</f>
        <v/>
      </c>
      <c r="C134" s="218"/>
      <c r="D134" s="218"/>
      <c r="E134" s="218"/>
      <c r="F134" s="218"/>
      <c r="G134" s="219"/>
      <c r="H134" s="218"/>
      <c r="I134" s="218"/>
      <c r="J134" s="218"/>
    </row>
    <row r="135" spans="1:10" x14ac:dyDescent="0.2">
      <c r="A135" s="58">
        <f t="shared" si="25"/>
        <v>33</v>
      </c>
      <c r="B135" s="420" t="str">
        <f t="shared" ref="B135:B140" si="26">IF(B134&lt;&gt;"",B134+1,"")</f>
        <v/>
      </c>
      <c r="C135" s="218"/>
      <c r="D135" s="218"/>
      <c r="E135" s="218"/>
      <c r="F135" s="218"/>
      <c r="G135" s="219"/>
      <c r="H135" s="218"/>
      <c r="I135" s="218"/>
      <c r="J135" s="218"/>
    </row>
    <row r="136" spans="1:10" x14ac:dyDescent="0.2">
      <c r="A136" s="58">
        <f t="shared" si="25"/>
        <v>33</v>
      </c>
      <c r="B136" s="420" t="str">
        <f t="shared" si="26"/>
        <v/>
      </c>
      <c r="C136" s="218"/>
      <c r="D136" s="218"/>
      <c r="E136" s="218"/>
      <c r="F136" s="218"/>
      <c r="G136" s="219"/>
      <c r="H136" s="218"/>
      <c r="I136" s="218"/>
      <c r="J136" s="218"/>
    </row>
    <row r="137" spans="1:10" x14ac:dyDescent="0.2">
      <c r="A137" s="59">
        <f t="shared" si="25"/>
        <v>33</v>
      </c>
      <c r="B137" s="420" t="str">
        <f t="shared" si="26"/>
        <v/>
      </c>
      <c r="C137" s="220"/>
      <c r="D137" s="220"/>
      <c r="E137" s="220"/>
      <c r="F137" s="220"/>
      <c r="G137" s="221"/>
      <c r="H137" s="220"/>
      <c r="I137" s="220"/>
      <c r="J137" s="220"/>
    </row>
    <row r="138" spans="1:10" x14ac:dyDescent="0.2">
      <c r="A138" s="59">
        <f t="shared" si="25"/>
        <v>33</v>
      </c>
      <c r="B138" s="420" t="str">
        <f t="shared" si="26"/>
        <v/>
      </c>
      <c r="C138" s="220"/>
      <c r="D138" s="220"/>
      <c r="E138" s="220"/>
      <c r="F138" s="220"/>
      <c r="G138" s="221"/>
      <c r="H138" s="220"/>
      <c r="I138" s="220"/>
      <c r="J138" s="220"/>
    </row>
    <row r="139" spans="1:10" x14ac:dyDescent="0.2">
      <c r="A139" s="59">
        <f t="shared" si="25"/>
        <v>33</v>
      </c>
      <c r="B139" s="420" t="str">
        <f t="shared" si="26"/>
        <v/>
      </c>
      <c r="C139" s="220"/>
      <c r="D139" s="220"/>
      <c r="E139" s="220"/>
      <c r="F139" s="220"/>
      <c r="G139" s="221"/>
      <c r="H139" s="220"/>
      <c r="I139" s="220"/>
      <c r="J139" s="220"/>
    </row>
    <row r="140" spans="1:10" x14ac:dyDescent="0.2">
      <c r="A140" s="60">
        <f t="shared" si="25"/>
        <v>33</v>
      </c>
      <c r="B140" s="420" t="str">
        <f t="shared" si="26"/>
        <v/>
      </c>
      <c r="C140" s="222"/>
      <c r="D140" s="222"/>
      <c r="E140" s="222"/>
      <c r="F140" s="222"/>
      <c r="G140" s="223"/>
      <c r="H140" s="222"/>
      <c r="I140" s="222"/>
      <c r="J140" s="222"/>
    </row>
    <row r="141" spans="1:10" x14ac:dyDescent="0.2">
      <c r="A141" s="30">
        <v>33</v>
      </c>
      <c r="B141" s="419" t="str">
        <f>"Total "&amp;A141</f>
        <v>Total 33</v>
      </c>
      <c r="C141" s="31" t="str">
        <f>IF(AND(C134=0,C135=0,C136=0,C137=0,C138=0,C139=0,C140=0),"",SUM(C134:C140))</f>
        <v/>
      </c>
      <c r="D141" s="31" t="str">
        <f>IF(AND(D134=0,D135=0,D136=0,D137=0,D138=0,D139=0,D140=0),"",SUM(D134:D140))</f>
        <v/>
      </c>
      <c r="E141" s="31">
        <f>IF(AND(E134=0,E135=0,E136=0,E137=0,E138=0,E139=0,E140=0),0,SUM(E134:E140))</f>
        <v>0</v>
      </c>
      <c r="F141" s="31">
        <f>IF(AND(F134=0,F135=0,F136=0,F137=0,F138=0,F139=0,F140=0),0,SUM(F134:F140))</f>
        <v>0</v>
      </c>
      <c r="G141" s="32" t="str">
        <f>IF(AND(G134=0,G135=0,G136=0,G137=0,G138=0,G139=0,G140=0),"",AVERAGE(G134:G140))</f>
        <v/>
      </c>
      <c r="H141" s="31">
        <f>IF(AND(H134=0,H135=0,H136=0,H137=0,H138=0,H139=0,H140=0),0,SUM(H134:H140))</f>
        <v>0</v>
      </c>
      <c r="I141" s="31" t="str">
        <f>IF(AND(I134=0,I135=0,I136=0,I137=0,I138=0,I139=0,I140=0),"",SUM(I134:I140))</f>
        <v/>
      </c>
      <c r="J141" s="31">
        <f>IF(AND(J134=0,J135=0,J136=0,J137=0,J138=0,J139=0,J140=0),0,AVERAGE(J134:J140))</f>
        <v>0</v>
      </c>
    </row>
    <row r="142" spans="1:10" x14ac:dyDescent="0.2">
      <c r="A142" s="58">
        <f t="shared" ref="A142:A148" si="27">A134+1</f>
        <v>34</v>
      </c>
      <c r="B142" s="420" t="str">
        <f>IF(B140&lt;&gt;"",B140+1,"")</f>
        <v/>
      </c>
      <c r="C142" s="218"/>
      <c r="D142" s="218"/>
      <c r="E142" s="218"/>
      <c r="F142" s="218"/>
      <c r="G142" s="219"/>
      <c r="H142" s="218"/>
      <c r="I142" s="218"/>
      <c r="J142" s="218"/>
    </row>
    <row r="143" spans="1:10" x14ac:dyDescent="0.2">
      <c r="A143" s="58">
        <f t="shared" si="27"/>
        <v>34</v>
      </c>
      <c r="B143" s="420" t="str">
        <f t="shared" ref="B143:B148" si="28">IF(B142&lt;&gt;"",B142+1,"")</f>
        <v/>
      </c>
      <c r="C143" s="218"/>
      <c r="D143" s="218"/>
      <c r="E143" s="218"/>
      <c r="F143" s="218"/>
      <c r="G143" s="219"/>
      <c r="H143" s="218"/>
      <c r="I143" s="218"/>
      <c r="J143" s="218"/>
    </row>
    <row r="144" spans="1:10" x14ac:dyDescent="0.2">
      <c r="A144" s="58">
        <f t="shared" si="27"/>
        <v>34</v>
      </c>
      <c r="B144" s="420" t="str">
        <f t="shared" si="28"/>
        <v/>
      </c>
      <c r="C144" s="218"/>
      <c r="D144" s="218"/>
      <c r="E144" s="218"/>
      <c r="F144" s="218"/>
      <c r="G144" s="219"/>
      <c r="H144" s="218"/>
      <c r="I144" s="218"/>
      <c r="J144" s="218"/>
    </row>
    <row r="145" spans="1:10" x14ac:dyDescent="0.2">
      <c r="A145" s="59">
        <f t="shared" si="27"/>
        <v>34</v>
      </c>
      <c r="B145" s="420" t="str">
        <f t="shared" si="28"/>
        <v/>
      </c>
      <c r="C145" s="220"/>
      <c r="D145" s="220"/>
      <c r="E145" s="220"/>
      <c r="F145" s="220"/>
      <c r="G145" s="221"/>
      <c r="H145" s="220"/>
      <c r="I145" s="220"/>
      <c r="J145" s="220"/>
    </row>
    <row r="146" spans="1:10" x14ac:dyDescent="0.2">
      <c r="A146" s="59">
        <f t="shared" si="27"/>
        <v>34</v>
      </c>
      <c r="B146" s="420" t="str">
        <f t="shared" si="28"/>
        <v/>
      </c>
      <c r="C146" s="220"/>
      <c r="D146" s="220"/>
      <c r="E146" s="220"/>
      <c r="F146" s="220"/>
      <c r="G146" s="221"/>
      <c r="H146" s="220"/>
      <c r="I146" s="220"/>
      <c r="J146" s="220"/>
    </row>
    <row r="147" spans="1:10" x14ac:dyDescent="0.2">
      <c r="A147" s="59">
        <f t="shared" si="27"/>
        <v>34</v>
      </c>
      <c r="B147" s="420" t="str">
        <f t="shared" si="28"/>
        <v/>
      </c>
      <c r="C147" s="220"/>
      <c r="D147" s="220"/>
      <c r="E147" s="220"/>
      <c r="F147" s="220"/>
      <c r="G147" s="221"/>
      <c r="H147" s="220"/>
      <c r="I147" s="220"/>
      <c r="J147" s="220"/>
    </row>
    <row r="148" spans="1:10" x14ac:dyDescent="0.2">
      <c r="A148" s="60">
        <f t="shared" si="27"/>
        <v>34</v>
      </c>
      <c r="B148" s="420" t="str">
        <f t="shared" si="28"/>
        <v/>
      </c>
      <c r="C148" s="222"/>
      <c r="D148" s="222"/>
      <c r="E148" s="222"/>
      <c r="F148" s="222"/>
      <c r="G148" s="223"/>
      <c r="H148" s="222"/>
      <c r="I148" s="222"/>
      <c r="J148" s="222"/>
    </row>
    <row r="149" spans="1:10" x14ac:dyDescent="0.2">
      <c r="A149" s="30">
        <v>34</v>
      </c>
      <c r="B149" s="419" t="str">
        <f>"Total "&amp;A149</f>
        <v>Total 34</v>
      </c>
      <c r="C149" s="31" t="str">
        <f>IF(AND(C142=0,C143=0,C144=0,C145=0,C146=0,C147=0,C148=0),"",SUM(C142:C148))</f>
        <v/>
      </c>
      <c r="D149" s="31" t="str">
        <f>IF(AND(D142=0,D143=0,D144=0,D145=0,D146=0,D147=0,D148=0),"",SUM(D142:D148))</f>
        <v/>
      </c>
      <c r="E149" s="31">
        <f>IF(AND(E142=0,E143=0,E144=0,E145=0,E146=0,E147=0,E148=0),0,SUM(E142:E148))</f>
        <v>0</v>
      </c>
      <c r="F149" s="31">
        <f>IF(AND(F142=0,F143=0,F144=0,F145=0,F146=0,F147=0,F148=0),0,SUM(F142:F148))</f>
        <v>0</v>
      </c>
      <c r="G149" s="32" t="str">
        <f>IF(AND(G142=0,G143=0,G144=0,G145=0,G146=0,G147=0,G148=0),"",AVERAGE(G142:G148))</f>
        <v/>
      </c>
      <c r="H149" s="31">
        <f>IF(AND(H142=0,H143=0,H144=0,H145=0,H146=0,H147=0,H148=0),0,SUM(H142:H148))</f>
        <v>0</v>
      </c>
      <c r="I149" s="31" t="str">
        <f>IF(AND(I142=0,I143=0,I144=0,I145=0,I146=0,I147=0,I148=0),"",SUM(I142:I148))</f>
        <v/>
      </c>
      <c r="J149" s="31">
        <f>IF(AND(J142=0,J143=0,J144=0,J145=0,J146=0,J147=0,J148=0),0,AVERAGE(J142:J148))</f>
        <v>0</v>
      </c>
    </row>
    <row r="150" spans="1:10" x14ac:dyDescent="0.2">
      <c r="A150" s="58">
        <f t="shared" ref="A150:A156" si="29">A142+1</f>
        <v>35</v>
      </c>
      <c r="B150" s="420" t="str">
        <f>IF(B148&lt;&gt;"",B148+1,"")</f>
        <v/>
      </c>
      <c r="C150" s="218"/>
      <c r="D150" s="218"/>
      <c r="E150" s="218"/>
      <c r="F150" s="218"/>
      <c r="G150" s="219"/>
      <c r="H150" s="218"/>
      <c r="I150" s="218"/>
      <c r="J150" s="218"/>
    </row>
    <row r="151" spans="1:10" x14ac:dyDescent="0.2">
      <c r="A151" s="58">
        <f t="shared" si="29"/>
        <v>35</v>
      </c>
      <c r="B151" s="420" t="str">
        <f t="shared" ref="B151:B156" si="30">IF(B150&lt;&gt;"",B150+1,"")</f>
        <v/>
      </c>
      <c r="C151" s="218"/>
      <c r="D151" s="218"/>
      <c r="E151" s="218"/>
      <c r="F151" s="218"/>
      <c r="G151" s="219"/>
      <c r="H151" s="218"/>
      <c r="I151" s="218"/>
      <c r="J151" s="218"/>
    </row>
    <row r="152" spans="1:10" x14ac:dyDescent="0.2">
      <c r="A152" s="58">
        <f t="shared" si="29"/>
        <v>35</v>
      </c>
      <c r="B152" s="420" t="str">
        <f t="shared" si="30"/>
        <v/>
      </c>
      <c r="C152" s="218"/>
      <c r="D152" s="218"/>
      <c r="E152" s="218"/>
      <c r="F152" s="218"/>
      <c r="G152" s="219"/>
      <c r="H152" s="218"/>
      <c r="I152" s="218"/>
      <c r="J152" s="218"/>
    </row>
    <row r="153" spans="1:10" x14ac:dyDescent="0.2">
      <c r="A153" s="59">
        <f t="shared" si="29"/>
        <v>35</v>
      </c>
      <c r="B153" s="420" t="str">
        <f t="shared" si="30"/>
        <v/>
      </c>
      <c r="C153" s="220"/>
      <c r="D153" s="220"/>
      <c r="E153" s="220"/>
      <c r="F153" s="220"/>
      <c r="G153" s="221"/>
      <c r="H153" s="220"/>
      <c r="I153" s="220"/>
      <c r="J153" s="220"/>
    </row>
    <row r="154" spans="1:10" x14ac:dyDescent="0.2">
      <c r="A154" s="59">
        <f t="shared" si="29"/>
        <v>35</v>
      </c>
      <c r="B154" s="420" t="str">
        <f t="shared" si="30"/>
        <v/>
      </c>
      <c r="C154" s="220"/>
      <c r="D154" s="220"/>
      <c r="E154" s="220"/>
      <c r="F154" s="220"/>
      <c r="G154" s="221"/>
      <c r="H154" s="220"/>
      <c r="I154" s="220"/>
      <c r="J154" s="220"/>
    </row>
    <row r="155" spans="1:10" x14ac:dyDescent="0.2">
      <c r="A155" s="59">
        <f t="shared" si="29"/>
        <v>35</v>
      </c>
      <c r="B155" s="420" t="str">
        <f t="shared" si="30"/>
        <v/>
      </c>
      <c r="C155" s="220"/>
      <c r="D155" s="220"/>
      <c r="E155" s="220"/>
      <c r="F155" s="220"/>
      <c r="G155" s="221"/>
      <c r="H155" s="220"/>
      <c r="I155" s="220"/>
      <c r="J155" s="220"/>
    </row>
    <row r="156" spans="1:10" x14ac:dyDescent="0.2">
      <c r="A156" s="60">
        <f t="shared" si="29"/>
        <v>35</v>
      </c>
      <c r="B156" s="420" t="str">
        <f t="shared" si="30"/>
        <v/>
      </c>
      <c r="C156" s="222"/>
      <c r="D156" s="222"/>
      <c r="E156" s="222"/>
      <c r="F156" s="222"/>
      <c r="G156" s="223"/>
      <c r="H156" s="222"/>
      <c r="I156" s="222"/>
      <c r="J156" s="222"/>
    </row>
    <row r="157" spans="1:10" x14ac:dyDescent="0.2">
      <c r="A157" s="30">
        <v>35</v>
      </c>
      <c r="B157" s="419" t="str">
        <f>"Total "&amp;A157</f>
        <v>Total 35</v>
      </c>
      <c r="C157" s="31" t="str">
        <f>IF(AND(C150=0,C151=0,C152=0,C153=0,C154=0,C155=0,C156=0),"",SUM(C150:C156))</f>
        <v/>
      </c>
      <c r="D157" s="31" t="str">
        <f>IF(AND(D150=0,D151=0,D152=0,D153=0,D154=0,D155=0,D156=0),"",SUM(D150:D156))</f>
        <v/>
      </c>
      <c r="E157" s="31">
        <f>IF(AND(E150=0,E151=0,E152=0,E153=0,E154=0,E155=0,E156=0),0,SUM(E150:E156))</f>
        <v>0</v>
      </c>
      <c r="F157" s="31">
        <f>IF(AND(F150=0,F151=0,F152=0,F153=0,F154=0,F155=0,F156=0),0,SUM(F150:F156))</f>
        <v>0</v>
      </c>
      <c r="G157" s="32" t="str">
        <f>IF(AND(G150=0,G151=0,G152=0,G153=0,G154=0,G155=0,G156=0),"",AVERAGE(G150:G156))</f>
        <v/>
      </c>
      <c r="H157" s="31">
        <f>IF(AND(H150=0,H151=0,H152=0,H153=0,H154=0,H155=0,H156=0),0,SUM(H150:H156))</f>
        <v>0</v>
      </c>
      <c r="I157" s="31" t="str">
        <f>IF(AND(I150=0,I151=0,I152=0,I153=0,I154=0,I155=0,I156=0),"",SUM(I150:I156))</f>
        <v/>
      </c>
      <c r="J157" s="31">
        <f>IF(AND(J150=0,J151=0,J152=0,J153=0,J154=0,J155=0,J156=0),0,AVERAGE(J150:J156))</f>
        <v>0</v>
      </c>
    </row>
    <row r="158" spans="1:10" x14ac:dyDescent="0.2">
      <c r="A158" s="58">
        <f t="shared" ref="A158:A164" si="31">A150+1</f>
        <v>36</v>
      </c>
      <c r="B158" s="420" t="str">
        <f>IF(B156&lt;&gt;"",B156+1,"")</f>
        <v/>
      </c>
      <c r="C158" s="218"/>
      <c r="D158" s="218"/>
      <c r="E158" s="218"/>
      <c r="F158" s="218"/>
      <c r="G158" s="219"/>
      <c r="H158" s="218"/>
      <c r="I158" s="218"/>
      <c r="J158" s="218"/>
    </row>
    <row r="159" spans="1:10" x14ac:dyDescent="0.2">
      <c r="A159" s="58">
        <f t="shared" si="31"/>
        <v>36</v>
      </c>
      <c r="B159" s="420" t="str">
        <f t="shared" ref="B159:B164" si="32">IF(B158&lt;&gt;"",B158+1,"")</f>
        <v/>
      </c>
      <c r="C159" s="218"/>
      <c r="D159" s="218"/>
      <c r="E159" s="218"/>
      <c r="F159" s="218"/>
      <c r="G159" s="219"/>
      <c r="H159" s="218"/>
      <c r="I159" s="218"/>
      <c r="J159" s="218"/>
    </row>
    <row r="160" spans="1:10" x14ac:dyDescent="0.2">
      <c r="A160" s="58">
        <f t="shared" si="31"/>
        <v>36</v>
      </c>
      <c r="B160" s="420" t="str">
        <f t="shared" si="32"/>
        <v/>
      </c>
      <c r="C160" s="218"/>
      <c r="D160" s="218"/>
      <c r="E160" s="218"/>
      <c r="F160" s="218"/>
      <c r="G160" s="219"/>
      <c r="H160" s="218"/>
      <c r="I160" s="218"/>
      <c r="J160" s="218"/>
    </row>
    <row r="161" spans="1:10" x14ac:dyDescent="0.2">
      <c r="A161" s="59">
        <f t="shared" si="31"/>
        <v>36</v>
      </c>
      <c r="B161" s="420" t="str">
        <f t="shared" si="32"/>
        <v/>
      </c>
      <c r="C161" s="220"/>
      <c r="D161" s="220"/>
      <c r="E161" s="220"/>
      <c r="F161" s="220"/>
      <c r="G161" s="221"/>
      <c r="H161" s="220"/>
      <c r="I161" s="220"/>
      <c r="J161" s="220"/>
    </row>
    <row r="162" spans="1:10" x14ac:dyDescent="0.2">
      <c r="A162" s="59">
        <f t="shared" si="31"/>
        <v>36</v>
      </c>
      <c r="B162" s="420" t="str">
        <f t="shared" si="32"/>
        <v/>
      </c>
      <c r="C162" s="220"/>
      <c r="D162" s="220"/>
      <c r="E162" s="220"/>
      <c r="F162" s="220"/>
      <c r="G162" s="221"/>
      <c r="H162" s="220"/>
      <c r="I162" s="220"/>
      <c r="J162" s="220"/>
    </row>
    <row r="163" spans="1:10" x14ac:dyDescent="0.2">
      <c r="A163" s="59">
        <f t="shared" si="31"/>
        <v>36</v>
      </c>
      <c r="B163" s="420" t="str">
        <f t="shared" si="32"/>
        <v/>
      </c>
      <c r="C163" s="220"/>
      <c r="D163" s="220"/>
      <c r="E163" s="220"/>
      <c r="F163" s="220"/>
      <c r="G163" s="221"/>
      <c r="H163" s="220"/>
      <c r="I163" s="220"/>
      <c r="J163" s="220"/>
    </row>
    <row r="164" spans="1:10" x14ac:dyDescent="0.2">
      <c r="A164" s="60">
        <f t="shared" si="31"/>
        <v>36</v>
      </c>
      <c r="B164" s="420" t="str">
        <f t="shared" si="32"/>
        <v/>
      </c>
      <c r="C164" s="222"/>
      <c r="D164" s="222"/>
      <c r="E164" s="222"/>
      <c r="F164" s="222"/>
      <c r="G164" s="223"/>
      <c r="H164" s="222"/>
      <c r="I164" s="222"/>
      <c r="J164" s="222"/>
    </row>
    <row r="165" spans="1:10" x14ac:dyDescent="0.2">
      <c r="A165" s="30">
        <v>36</v>
      </c>
      <c r="B165" s="419" t="str">
        <f>"Total "&amp;A165</f>
        <v>Total 36</v>
      </c>
      <c r="C165" s="31" t="str">
        <f>IF(AND(C158=0,C159=0,C160=0,C161=0,C162=0,C163=0,C164=0),"",SUM(C158:C164))</f>
        <v/>
      </c>
      <c r="D165" s="31" t="str">
        <f>IF(AND(D158=0,D159=0,D160=0,D161=0,D162=0,D163=0,D164=0),"",SUM(D158:D164))</f>
        <v/>
      </c>
      <c r="E165" s="31">
        <f>IF(AND(E158=0,E159=0,E160=0,E161=0,E162=0,E163=0,E164=0),0,SUM(E158:E164))</f>
        <v>0</v>
      </c>
      <c r="F165" s="31">
        <f>IF(AND(F158=0,F159=0,F160=0,F161=0,F162=0,F163=0,F164=0),0,SUM(F158:F164))</f>
        <v>0</v>
      </c>
      <c r="G165" s="32" t="str">
        <f>IF(AND(G158=0,G159=0,G160=0,G161=0,G162=0,G163=0,G164=0),"",AVERAGE(G158:G164))</f>
        <v/>
      </c>
      <c r="H165" s="31">
        <f>IF(AND(H158=0,H159=0,H160=0,H161=0,H162=0,H163=0,H164=0),0,SUM(H158:H164))</f>
        <v>0</v>
      </c>
      <c r="I165" s="31" t="str">
        <f>IF(AND(I158=0,I159=0,I160=0,I161=0,I162=0,I163=0,I164=0),"",SUM(I158:I164))</f>
        <v/>
      </c>
      <c r="J165" s="31">
        <f>IF(AND(J158=0,J159=0,J160=0,J161=0,J162=0,J163=0,J164=0),0,AVERAGE(J158:J164))</f>
        <v>0</v>
      </c>
    </row>
    <row r="166" spans="1:10" x14ac:dyDescent="0.2">
      <c r="A166" s="58">
        <f t="shared" ref="A166:A172" si="33">A158+1</f>
        <v>37</v>
      </c>
      <c r="B166" s="420" t="str">
        <f>IF(B164&lt;&gt;"",B164+1,"")</f>
        <v/>
      </c>
      <c r="C166" s="218"/>
      <c r="D166" s="218"/>
      <c r="E166" s="218"/>
      <c r="F166" s="218"/>
      <c r="G166" s="219"/>
      <c r="H166" s="218"/>
      <c r="I166" s="218"/>
      <c r="J166" s="218"/>
    </row>
    <row r="167" spans="1:10" x14ac:dyDescent="0.2">
      <c r="A167" s="58">
        <f t="shared" si="33"/>
        <v>37</v>
      </c>
      <c r="B167" s="420" t="str">
        <f t="shared" ref="B167:B172" si="34">IF(B166&lt;&gt;"",B166+1,"")</f>
        <v/>
      </c>
      <c r="C167" s="218"/>
      <c r="D167" s="218"/>
      <c r="E167" s="218"/>
      <c r="F167" s="218"/>
      <c r="G167" s="219"/>
      <c r="H167" s="218"/>
      <c r="I167" s="218"/>
      <c r="J167" s="218"/>
    </row>
    <row r="168" spans="1:10" x14ac:dyDescent="0.2">
      <c r="A168" s="58">
        <f t="shared" si="33"/>
        <v>37</v>
      </c>
      <c r="B168" s="420" t="str">
        <f t="shared" si="34"/>
        <v/>
      </c>
      <c r="C168" s="218"/>
      <c r="D168" s="218"/>
      <c r="E168" s="218"/>
      <c r="F168" s="218"/>
      <c r="G168" s="219"/>
      <c r="H168" s="218"/>
      <c r="I168" s="218"/>
      <c r="J168" s="218"/>
    </row>
    <row r="169" spans="1:10" x14ac:dyDescent="0.2">
      <c r="A169" s="59">
        <f t="shared" si="33"/>
        <v>37</v>
      </c>
      <c r="B169" s="420" t="str">
        <f t="shared" si="34"/>
        <v/>
      </c>
      <c r="C169" s="220"/>
      <c r="D169" s="220"/>
      <c r="E169" s="220"/>
      <c r="F169" s="220"/>
      <c r="G169" s="221"/>
      <c r="H169" s="220"/>
      <c r="I169" s="220"/>
      <c r="J169" s="220"/>
    </row>
    <row r="170" spans="1:10" x14ac:dyDescent="0.2">
      <c r="A170" s="59">
        <f t="shared" si="33"/>
        <v>37</v>
      </c>
      <c r="B170" s="420" t="str">
        <f t="shared" si="34"/>
        <v/>
      </c>
      <c r="C170" s="220"/>
      <c r="D170" s="220"/>
      <c r="E170" s="220"/>
      <c r="F170" s="220"/>
      <c r="G170" s="221"/>
      <c r="H170" s="220"/>
      <c r="I170" s="220"/>
      <c r="J170" s="220"/>
    </row>
    <row r="171" spans="1:10" x14ac:dyDescent="0.2">
      <c r="A171" s="59">
        <f t="shared" si="33"/>
        <v>37</v>
      </c>
      <c r="B171" s="420" t="str">
        <f t="shared" si="34"/>
        <v/>
      </c>
      <c r="C171" s="220"/>
      <c r="D171" s="220"/>
      <c r="E171" s="220"/>
      <c r="F171" s="220"/>
      <c r="G171" s="221"/>
      <c r="H171" s="220"/>
      <c r="I171" s="220"/>
      <c r="J171" s="220"/>
    </row>
    <row r="172" spans="1:10" x14ac:dyDescent="0.2">
      <c r="A172" s="60">
        <f t="shared" si="33"/>
        <v>37</v>
      </c>
      <c r="B172" s="420" t="str">
        <f t="shared" si="34"/>
        <v/>
      </c>
      <c r="C172" s="222"/>
      <c r="D172" s="222"/>
      <c r="E172" s="222"/>
      <c r="F172" s="222"/>
      <c r="G172" s="223"/>
      <c r="H172" s="222"/>
      <c r="I172" s="222"/>
      <c r="J172" s="222"/>
    </row>
    <row r="173" spans="1:10" x14ac:dyDescent="0.2">
      <c r="A173" s="30">
        <v>37</v>
      </c>
      <c r="B173" s="419" t="str">
        <f>"Total "&amp;A173</f>
        <v>Total 37</v>
      </c>
      <c r="C173" s="31" t="str">
        <f>IF(AND(C166=0,C167=0,C168=0,C169=0,C170=0,C171=0,C172=0),"",SUM(C166:C172))</f>
        <v/>
      </c>
      <c r="D173" s="31" t="str">
        <f>IF(AND(D166=0,D167=0,D168=0,D169=0,D170=0,D171=0,D172=0),"",SUM(D166:D172))</f>
        <v/>
      </c>
      <c r="E173" s="31">
        <f>IF(AND(E166=0,E167=0,E168=0,E169=0,E170=0,E171=0,E172=0),0,SUM(E166:E172))</f>
        <v>0</v>
      </c>
      <c r="F173" s="31">
        <f>IF(AND(F166=0,F167=0,F168=0,F169=0,F170=0,F171=0,F172=0),0,SUM(F166:F172))</f>
        <v>0</v>
      </c>
      <c r="G173" s="32" t="str">
        <f>IF(AND(G166=0,G167=0,G168=0,G169=0,G170=0,G171=0,G172=0),"",AVERAGE(G166:G172))</f>
        <v/>
      </c>
      <c r="H173" s="31">
        <f>IF(AND(H166=0,H167=0,H168=0,H169=0,H170=0,H171=0,H172=0),0,SUM(H166:H172))</f>
        <v>0</v>
      </c>
      <c r="I173" s="31" t="str">
        <f>IF(AND(I166=0,I167=0,I168=0,I169=0,I170=0,I171=0,I172=0),"",SUM(I166:I172))</f>
        <v/>
      </c>
      <c r="J173" s="31">
        <f>IF(AND(J166=0,J167=0,J168=0,J169=0,J170=0,J171=0,J172=0),0,AVERAGE(J166:J172))</f>
        <v>0</v>
      </c>
    </row>
    <row r="174" spans="1:10" x14ac:dyDescent="0.2">
      <c r="A174" s="58">
        <f t="shared" ref="A174:A180" si="35">A166+1</f>
        <v>38</v>
      </c>
      <c r="B174" s="420" t="str">
        <f>IF(B172&lt;&gt;"",B172+1,"")</f>
        <v/>
      </c>
      <c r="C174" s="218"/>
      <c r="D174" s="218"/>
      <c r="E174" s="218"/>
      <c r="F174" s="218"/>
      <c r="G174" s="219"/>
      <c r="H174" s="218"/>
      <c r="I174" s="218"/>
      <c r="J174" s="218"/>
    </row>
    <row r="175" spans="1:10" x14ac:dyDescent="0.2">
      <c r="A175" s="58">
        <f t="shared" si="35"/>
        <v>38</v>
      </c>
      <c r="B175" s="420" t="str">
        <f t="shared" ref="B175:B180" si="36">IF(B174&lt;&gt;"",B174+1,"")</f>
        <v/>
      </c>
      <c r="C175" s="218"/>
      <c r="D175" s="218"/>
      <c r="E175" s="218"/>
      <c r="F175" s="218"/>
      <c r="G175" s="219"/>
      <c r="H175" s="218"/>
      <c r="I175" s="218"/>
      <c r="J175" s="218"/>
    </row>
    <row r="176" spans="1:10" x14ac:dyDescent="0.2">
      <c r="A176" s="58">
        <f t="shared" si="35"/>
        <v>38</v>
      </c>
      <c r="B176" s="420" t="str">
        <f t="shared" si="36"/>
        <v/>
      </c>
      <c r="C176" s="218"/>
      <c r="D176" s="218"/>
      <c r="E176" s="218"/>
      <c r="F176" s="218"/>
      <c r="G176" s="219"/>
      <c r="H176" s="218"/>
      <c r="I176" s="218"/>
      <c r="J176" s="218"/>
    </row>
    <row r="177" spans="1:10" x14ac:dyDescent="0.2">
      <c r="A177" s="59">
        <f t="shared" si="35"/>
        <v>38</v>
      </c>
      <c r="B177" s="420" t="str">
        <f t="shared" si="36"/>
        <v/>
      </c>
      <c r="C177" s="220"/>
      <c r="D177" s="220"/>
      <c r="E177" s="220"/>
      <c r="F177" s="220"/>
      <c r="G177" s="221"/>
      <c r="H177" s="220"/>
      <c r="I177" s="220"/>
      <c r="J177" s="220"/>
    </row>
    <row r="178" spans="1:10" x14ac:dyDescent="0.2">
      <c r="A178" s="59">
        <f t="shared" si="35"/>
        <v>38</v>
      </c>
      <c r="B178" s="420" t="str">
        <f t="shared" si="36"/>
        <v/>
      </c>
      <c r="C178" s="220"/>
      <c r="D178" s="220"/>
      <c r="E178" s="220"/>
      <c r="F178" s="220"/>
      <c r="G178" s="221"/>
      <c r="H178" s="220"/>
      <c r="I178" s="220"/>
      <c r="J178" s="220"/>
    </row>
    <row r="179" spans="1:10" x14ac:dyDescent="0.2">
      <c r="A179" s="59">
        <f t="shared" si="35"/>
        <v>38</v>
      </c>
      <c r="B179" s="420" t="str">
        <f t="shared" si="36"/>
        <v/>
      </c>
      <c r="C179" s="220"/>
      <c r="D179" s="220"/>
      <c r="E179" s="220"/>
      <c r="F179" s="220"/>
      <c r="G179" s="221"/>
      <c r="H179" s="220"/>
      <c r="I179" s="220"/>
      <c r="J179" s="220"/>
    </row>
    <row r="180" spans="1:10" x14ac:dyDescent="0.2">
      <c r="A180" s="60">
        <f t="shared" si="35"/>
        <v>38</v>
      </c>
      <c r="B180" s="420" t="str">
        <f t="shared" si="36"/>
        <v/>
      </c>
      <c r="C180" s="222"/>
      <c r="D180" s="222"/>
      <c r="E180" s="222"/>
      <c r="F180" s="222"/>
      <c r="G180" s="223"/>
      <c r="H180" s="222"/>
      <c r="I180" s="222"/>
      <c r="J180" s="222"/>
    </row>
    <row r="181" spans="1:10" x14ac:dyDescent="0.2">
      <c r="A181" s="30">
        <v>38</v>
      </c>
      <c r="B181" s="419" t="str">
        <f>"Total "&amp;A181</f>
        <v>Total 38</v>
      </c>
      <c r="C181" s="31" t="str">
        <f>IF(AND(C174=0,C175=0,C176=0,C177=0,C178=0,C179=0,C180=0),"",SUM(C174:C180))</f>
        <v/>
      </c>
      <c r="D181" s="31" t="str">
        <f>IF(AND(D174=0,D175=0,D176=0,D177=0,D178=0,D179=0,D180=0),"",SUM(D174:D180))</f>
        <v/>
      </c>
      <c r="E181" s="31">
        <f>IF(AND(E174=0,E175=0,E176=0,E177=0,E178=0,E179=0,E180=0),0,SUM(E174:E180))</f>
        <v>0</v>
      </c>
      <c r="F181" s="31">
        <f>IF(AND(F174=0,F175=0,F176=0,F177=0,F178=0,F179=0,F180=0),0,SUM(F174:F180))</f>
        <v>0</v>
      </c>
      <c r="G181" s="32" t="str">
        <f>IF(AND(G174=0,G175=0,G176=0,G177=0,G178=0,G179=0,G180=0),"",AVERAGE(G174:G180))</f>
        <v/>
      </c>
      <c r="H181" s="31">
        <f>IF(AND(H174=0,H175=0,H176=0,H177=0,H178=0,H179=0,H180=0),0,SUM(H174:H180))</f>
        <v>0</v>
      </c>
      <c r="I181" s="31" t="str">
        <f>IF(AND(I174=0,I175=0,I176=0,I177=0,I178=0,I179=0,I180=0),"",SUM(I174:I180))</f>
        <v/>
      </c>
      <c r="J181" s="31">
        <f>IF(AND(J174=0,J175=0,J176=0,J177=0,J178=0,J179=0,J180=0),0,AVERAGE(J174:J180))</f>
        <v>0</v>
      </c>
    </row>
    <row r="182" spans="1:10" x14ac:dyDescent="0.2">
      <c r="A182" s="58">
        <f t="shared" ref="A182:A188" si="37">A174+1</f>
        <v>39</v>
      </c>
      <c r="B182" s="420" t="str">
        <f>IF(B180&lt;&gt;"",B180+1,"")</f>
        <v/>
      </c>
      <c r="C182" s="218"/>
      <c r="D182" s="218"/>
      <c r="E182" s="218"/>
      <c r="F182" s="218"/>
      <c r="G182" s="219"/>
      <c r="H182" s="218"/>
      <c r="I182" s="218"/>
      <c r="J182" s="218"/>
    </row>
    <row r="183" spans="1:10" x14ac:dyDescent="0.2">
      <c r="A183" s="58">
        <f t="shared" si="37"/>
        <v>39</v>
      </c>
      <c r="B183" s="420" t="str">
        <f t="shared" ref="B183:B188" si="38">IF(B182&lt;&gt;"",B182+1,"")</f>
        <v/>
      </c>
      <c r="C183" s="218"/>
      <c r="D183" s="218"/>
      <c r="E183" s="218"/>
      <c r="F183" s="218"/>
      <c r="G183" s="219"/>
      <c r="H183" s="218"/>
      <c r="I183" s="218"/>
      <c r="J183" s="218"/>
    </row>
    <row r="184" spans="1:10" x14ac:dyDescent="0.2">
      <c r="A184" s="58">
        <f t="shared" si="37"/>
        <v>39</v>
      </c>
      <c r="B184" s="420" t="str">
        <f t="shared" si="38"/>
        <v/>
      </c>
      <c r="C184" s="218"/>
      <c r="D184" s="218"/>
      <c r="E184" s="218"/>
      <c r="F184" s="218"/>
      <c r="G184" s="219"/>
      <c r="H184" s="218"/>
      <c r="I184" s="218"/>
      <c r="J184" s="218"/>
    </row>
    <row r="185" spans="1:10" x14ac:dyDescent="0.2">
      <c r="A185" s="59">
        <f t="shared" si="37"/>
        <v>39</v>
      </c>
      <c r="B185" s="420" t="str">
        <f t="shared" si="38"/>
        <v/>
      </c>
      <c r="C185" s="220"/>
      <c r="D185" s="220"/>
      <c r="E185" s="220"/>
      <c r="F185" s="220"/>
      <c r="G185" s="221"/>
      <c r="H185" s="220"/>
      <c r="I185" s="220"/>
      <c r="J185" s="220"/>
    </row>
    <row r="186" spans="1:10" x14ac:dyDescent="0.2">
      <c r="A186" s="59">
        <f t="shared" si="37"/>
        <v>39</v>
      </c>
      <c r="B186" s="420" t="str">
        <f t="shared" si="38"/>
        <v/>
      </c>
      <c r="C186" s="220"/>
      <c r="D186" s="220"/>
      <c r="E186" s="220"/>
      <c r="F186" s="220"/>
      <c r="G186" s="221"/>
      <c r="H186" s="220"/>
      <c r="I186" s="220"/>
      <c r="J186" s="220"/>
    </row>
    <row r="187" spans="1:10" x14ac:dyDescent="0.2">
      <c r="A187" s="59">
        <f t="shared" si="37"/>
        <v>39</v>
      </c>
      <c r="B187" s="420" t="str">
        <f t="shared" si="38"/>
        <v/>
      </c>
      <c r="C187" s="220"/>
      <c r="D187" s="220"/>
      <c r="E187" s="220"/>
      <c r="F187" s="220"/>
      <c r="G187" s="221"/>
      <c r="H187" s="220"/>
      <c r="I187" s="220"/>
      <c r="J187" s="220"/>
    </row>
    <row r="188" spans="1:10" x14ac:dyDescent="0.2">
      <c r="A188" s="60">
        <f t="shared" si="37"/>
        <v>39</v>
      </c>
      <c r="B188" s="420" t="str">
        <f t="shared" si="38"/>
        <v/>
      </c>
      <c r="C188" s="222"/>
      <c r="D188" s="222"/>
      <c r="E188" s="222"/>
      <c r="F188" s="222"/>
      <c r="G188" s="223"/>
      <c r="H188" s="222"/>
      <c r="I188" s="222"/>
      <c r="J188" s="222"/>
    </row>
    <row r="189" spans="1:10" x14ac:dyDescent="0.2">
      <c r="A189" s="30">
        <v>39</v>
      </c>
      <c r="B189" s="419" t="str">
        <f>"Total "&amp;A189</f>
        <v>Total 39</v>
      </c>
      <c r="C189" s="31" t="str">
        <f>IF(AND(C182=0,C183=0,C184=0,C185=0,C186=0,C187=0,C188=0),"",SUM(C182:C188))</f>
        <v/>
      </c>
      <c r="D189" s="31" t="str">
        <f>IF(AND(D182=0,D183=0,D184=0,D185=0,D186=0,D187=0,D188=0),"",SUM(D182:D188))</f>
        <v/>
      </c>
      <c r="E189" s="31">
        <f>IF(AND(E182=0,E183=0,E184=0,E185=0,E186=0,E187=0,E188=0),0,SUM(E182:E188))</f>
        <v>0</v>
      </c>
      <c r="F189" s="31">
        <f>IF(AND(F182=0,F183=0,F184=0,F185=0,F186=0,F187=0,F188=0),0,SUM(F182:F188))</f>
        <v>0</v>
      </c>
      <c r="G189" s="32" t="str">
        <f>IF(AND(G182=0,G183=0,G184=0,G185=0,G186=0,G187=0,G188=0),"",AVERAGE(G182:G188))</f>
        <v/>
      </c>
      <c r="H189" s="31">
        <f>IF(AND(H182=0,H183=0,H184=0,H185=0,H186=0,H187=0,H188=0),0,SUM(H182:H188))</f>
        <v>0</v>
      </c>
      <c r="I189" s="31" t="str">
        <f>IF(AND(I182=0,I183=0,I184=0,I185=0,I186=0,I187=0,I188=0),"",SUM(I182:I188))</f>
        <v/>
      </c>
      <c r="J189" s="31">
        <f>IF(AND(J182=0,J183=0,J184=0,J185=0,J186=0,J187=0,J188=0),0,AVERAGE(J182:J188))</f>
        <v>0</v>
      </c>
    </row>
    <row r="190" spans="1:10" x14ac:dyDescent="0.2">
      <c r="A190" s="58">
        <f t="shared" ref="A190:A196" si="39">A182+1</f>
        <v>40</v>
      </c>
      <c r="B190" s="420" t="str">
        <f>IF(B188&lt;&gt;"",B188+1,"")</f>
        <v/>
      </c>
      <c r="C190" s="218"/>
      <c r="D190" s="218"/>
      <c r="E190" s="218"/>
      <c r="F190" s="218"/>
      <c r="G190" s="219"/>
      <c r="H190" s="218"/>
      <c r="I190" s="218"/>
      <c r="J190" s="218"/>
    </row>
    <row r="191" spans="1:10" x14ac:dyDescent="0.2">
      <c r="A191" s="58">
        <f t="shared" si="39"/>
        <v>40</v>
      </c>
      <c r="B191" s="420" t="str">
        <f t="shared" ref="B191:B196" si="40">IF(B190&lt;&gt;"",B190+1,"")</f>
        <v/>
      </c>
      <c r="C191" s="218"/>
      <c r="D191" s="218"/>
      <c r="E191" s="218"/>
      <c r="F191" s="218"/>
      <c r="G191" s="219"/>
      <c r="H191" s="218"/>
      <c r="I191" s="218"/>
      <c r="J191" s="218"/>
    </row>
    <row r="192" spans="1:10" x14ac:dyDescent="0.2">
      <c r="A192" s="58">
        <f t="shared" si="39"/>
        <v>40</v>
      </c>
      <c r="B192" s="420" t="str">
        <f t="shared" si="40"/>
        <v/>
      </c>
      <c r="C192" s="218"/>
      <c r="D192" s="218"/>
      <c r="E192" s="218"/>
      <c r="F192" s="218"/>
      <c r="G192" s="219"/>
      <c r="H192" s="218"/>
      <c r="I192" s="218"/>
      <c r="J192" s="218"/>
    </row>
    <row r="193" spans="1:10" x14ac:dyDescent="0.2">
      <c r="A193" s="59">
        <f t="shared" si="39"/>
        <v>40</v>
      </c>
      <c r="B193" s="420" t="str">
        <f t="shared" si="40"/>
        <v/>
      </c>
      <c r="C193" s="220"/>
      <c r="D193" s="220"/>
      <c r="E193" s="220"/>
      <c r="F193" s="220"/>
      <c r="G193" s="221"/>
      <c r="H193" s="220"/>
      <c r="I193" s="220"/>
      <c r="J193" s="220"/>
    </row>
    <row r="194" spans="1:10" x14ac:dyDescent="0.2">
      <c r="A194" s="59">
        <f t="shared" si="39"/>
        <v>40</v>
      </c>
      <c r="B194" s="420" t="str">
        <f t="shared" si="40"/>
        <v/>
      </c>
      <c r="C194" s="220"/>
      <c r="D194" s="220"/>
      <c r="E194" s="220"/>
      <c r="F194" s="220"/>
      <c r="G194" s="221"/>
      <c r="H194" s="220"/>
      <c r="I194" s="220"/>
      <c r="J194" s="220"/>
    </row>
    <row r="195" spans="1:10" x14ac:dyDescent="0.2">
      <c r="A195" s="59">
        <f t="shared" si="39"/>
        <v>40</v>
      </c>
      <c r="B195" s="420" t="str">
        <f t="shared" si="40"/>
        <v/>
      </c>
      <c r="C195" s="220"/>
      <c r="D195" s="220"/>
      <c r="E195" s="220"/>
      <c r="F195" s="220"/>
      <c r="G195" s="221"/>
      <c r="H195" s="220"/>
      <c r="I195" s="220"/>
      <c r="J195" s="220"/>
    </row>
    <row r="196" spans="1:10" x14ac:dyDescent="0.2">
      <c r="A196" s="60">
        <f t="shared" si="39"/>
        <v>40</v>
      </c>
      <c r="B196" s="420" t="str">
        <f t="shared" si="40"/>
        <v/>
      </c>
      <c r="C196" s="222"/>
      <c r="D196" s="222"/>
      <c r="E196" s="222"/>
      <c r="F196" s="222"/>
      <c r="G196" s="223"/>
      <c r="H196" s="222"/>
      <c r="I196" s="222"/>
      <c r="J196" s="222"/>
    </row>
    <row r="197" spans="1:10" x14ac:dyDescent="0.2">
      <c r="A197" s="30">
        <v>40</v>
      </c>
      <c r="B197" s="419" t="str">
        <f>"Total "&amp;A197</f>
        <v>Total 40</v>
      </c>
      <c r="C197" s="31" t="str">
        <f>IF(AND(C190=0,C191=0,C192=0,C193=0,C194=0,C195=0,C196=0),"",SUM(C190:C196))</f>
        <v/>
      </c>
      <c r="D197" s="31" t="str">
        <f>IF(AND(D190=0,D191=0,D192=0,D193=0,D194=0,D195=0,D196=0),"",SUM(D190:D196))</f>
        <v/>
      </c>
      <c r="E197" s="31">
        <f>IF(AND(E190=0,E191=0,E192=0,E193=0,E194=0,E195=0,E196=0),0,SUM(E190:E196))</f>
        <v>0</v>
      </c>
      <c r="F197" s="31">
        <f>IF(AND(F190=0,F191=0,F192=0,F193=0,F194=0,F195=0,F196=0),0,SUM(F190:F196))</f>
        <v>0</v>
      </c>
      <c r="G197" s="32" t="str">
        <f>IF(AND(G190=0,G191=0,G192=0,G193=0,G194=0,G195=0,G196=0),"",AVERAGE(G190:G196))</f>
        <v/>
      </c>
      <c r="H197" s="31">
        <f>IF(AND(H190=0,H191=0,H192=0,H193=0,H194=0,H195=0,H196=0),0,SUM(H190:H196))</f>
        <v>0</v>
      </c>
      <c r="I197" s="31" t="str">
        <f>IF(AND(I190=0,I191=0,I192=0,I193=0,I194=0,I195=0,I196=0),"",SUM(I190:I196))</f>
        <v/>
      </c>
      <c r="J197" s="31">
        <f>IF(AND(J190=0,J191=0,J192=0,J193=0,J194=0,J195=0,J196=0),0,AVERAGE(J190:J196))</f>
        <v>0</v>
      </c>
    </row>
    <row r="198" spans="1:10" x14ac:dyDescent="0.2">
      <c r="A198" s="58">
        <f t="shared" ref="A198:A204" si="41">A190+1</f>
        <v>41</v>
      </c>
      <c r="B198" s="420" t="str">
        <f>IF(B196&lt;&gt;"",B196+1,"")</f>
        <v/>
      </c>
      <c r="C198" s="218"/>
      <c r="D198" s="218"/>
      <c r="E198" s="218"/>
      <c r="F198" s="218"/>
      <c r="G198" s="219"/>
      <c r="H198" s="218"/>
      <c r="I198" s="218"/>
      <c r="J198" s="218"/>
    </row>
    <row r="199" spans="1:10" x14ac:dyDescent="0.2">
      <c r="A199" s="58">
        <f t="shared" si="41"/>
        <v>41</v>
      </c>
      <c r="B199" s="420" t="str">
        <f t="shared" ref="B199:B204" si="42">IF(B198&lt;&gt;"",B198+1,"")</f>
        <v/>
      </c>
      <c r="C199" s="218"/>
      <c r="D199" s="218"/>
      <c r="E199" s="218"/>
      <c r="F199" s="218"/>
      <c r="G199" s="219"/>
      <c r="H199" s="218"/>
      <c r="I199" s="218"/>
      <c r="J199" s="218"/>
    </row>
    <row r="200" spans="1:10" x14ac:dyDescent="0.2">
      <c r="A200" s="58">
        <f t="shared" si="41"/>
        <v>41</v>
      </c>
      <c r="B200" s="420" t="str">
        <f t="shared" si="42"/>
        <v/>
      </c>
      <c r="C200" s="218"/>
      <c r="D200" s="218"/>
      <c r="E200" s="218"/>
      <c r="F200" s="218"/>
      <c r="G200" s="219"/>
      <c r="H200" s="218"/>
      <c r="I200" s="218"/>
      <c r="J200" s="218"/>
    </row>
    <row r="201" spans="1:10" x14ac:dyDescent="0.2">
      <c r="A201" s="59">
        <f t="shared" si="41"/>
        <v>41</v>
      </c>
      <c r="B201" s="420" t="str">
        <f t="shared" si="42"/>
        <v/>
      </c>
      <c r="C201" s="220"/>
      <c r="D201" s="220"/>
      <c r="E201" s="220"/>
      <c r="F201" s="220"/>
      <c r="G201" s="221"/>
      <c r="H201" s="220"/>
      <c r="I201" s="220"/>
      <c r="J201" s="220"/>
    </row>
    <row r="202" spans="1:10" x14ac:dyDescent="0.2">
      <c r="A202" s="59">
        <f t="shared" si="41"/>
        <v>41</v>
      </c>
      <c r="B202" s="420" t="str">
        <f t="shared" si="42"/>
        <v/>
      </c>
      <c r="C202" s="220"/>
      <c r="D202" s="220"/>
      <c r="E202" s="220"/>
      <c r="F202" s="220"/>
      <c r="G202" s="221"/>
      <c r="H202" s="220"/>
      <c r="I202" s="220"/>
      <c r="J202" s="220"/>
    </row>
    <row r="203" spans="1:10" x14ac:dyDescent="0.2">
      <c r="A203" s="59">
        <f t="shared" si="41"/>
        <v>41</v>
      </c>
      <c r="B203" s="420" t="str">
        <f t="shared" si="42"/>
        <v/>
      </c>
      <c r="C203" s="220"/>
      <c r="D203" s="220"/>
      <c r="E203" s="220"/>
      <c r="F203" s="220"/>
      <c r="G203" s="221"/>
      <c r="H203" s="220"/>
      <c r="I203" s="220"/>
      <c r="J203" s="220"/>
    </row>
    <row r="204" spans="1:10" x14ac:dyDescent="0.2">
      <c r="A204" s="60">
        <f t="shared" si="41"/>
        <v>41</v>
      </c>
      <c r="B204" s="420" t="str">
        <f t="shared" si="42"/>
        <v/>
      </c>
      <c r="C204" s="222"/>
      <c r="D204" s="222"/>
      <c r="E204" s="222"/>
      <c r="F204" s="222"/>
      <c r="G204" s="223"/>
      <c r="H204" s="222"/>
      <c r="I204" s="222"/>
      <c r="J204" s="222"/>
    </row>
    <row r="205" spans="1:10" x14ac:dyDescent="0.2">
      <c r="A205" s="30">
        <v>41</v>
      </c>
      <c r="B205" s="419" t="str">
        <f>"Total "&amp;A205</f>
        <v>Total 41</v>
      </c>
      <c r="C205" s="31" t="str">
        <f>IF(AND(C198=0,C199=0,C200=0,C201=0,C202=0,C203=0,C204=0),"",SUM(C198:C204))</f>
        <v/>
      </c>
      <c r="D205" s="31" t="str">
        <f>IF(AND(D198=0,D199=0,D200=0,D201=0,D202=0,D203=0,D204=0),"",SUM(D198:D204))</f>
        <v/>
      </c>
      <c r="E205" s="31">
        <f>IF(AND(E198=0,E199=0,E200=0,E201=0,E202=0,E203=0,E204=0),0,SUM(E198:E204))</f>
        <v>0</v>
      </c>
      <c r="F205" s="31">
        <f>IF(AND(F198=0,F199=0,F200=0,F201=0,F202=0,F203=0,F204=0),0,SUM(F198:F204))</f>
        <v>0</v>
      </c>
      <c r="G205" s="32" t="str">
        <f>IF(AND(G198=0,G199=0,G200=0,G201=0,G202=0,G203=0,G204=0),"",AVERAGE(G198:G204))</f>
        <v/>
      </c>
      <c r="H205" s="31">
        <f>IF(AND(H198=0,H199=0,H200=0,H201=0,H202=0,H203=0,H204=0),0,SUM(H198:H204))</f>
        <v>0</v>
      </c>
      <c r="I205" s="31" t="str">
        <f>IF(AND(I198=0,I199=0,I200=0,I201=0,I202=0,I203=0,I204=0),"",SUM(I198:I204))</f>
        <v/>
      </c>
      <c r="J205" s="31">
        <f>IF(AND(J198=0,J199=0,J200=0,J201=0,J202=0,J203=0,J204=0),0,AVERAGE(J198:J204))</f>
        <v>0</v>
      </c>
    </row>
    <row r="206" spans="1:10" x14ac:dyDescent="0.2">
      <c r="A206" s="58">
        <f t="shared" ref="A206:A212" si="43">A198+1</f>
        <v>42</v>
      </c>
      <c r="B206" s="420" t="str">
        <f>IF(B204&lt;&gt;"",B204+1,"")</f>
        <v/>
      </c>
      <c r="C206" s="218"/>
      <c r="D206" s="218"/>
      <c r="E206" s="218"/>
      <c r="F206" s="218"/>
      <c r="G206" s="219"/>
      <c r="H206" s="218"/>
      <c r="I206" s="218"/>
      <c r="J206" s="218"/>
    </row>
    <row r="207" spans="1:10" x14ac:dyDescent="0.2">
      <c r="A207" s="58">
        <f t="shared" si="43"/>
        <v>42</v>
      </c>
      <c r="B207" s="420" t="str">
        <f t="shared" ref="B207:B212" si="44">IF(B206&lt;&gt;"",B206+1,"")</f>
        <v/>
      </c>
      <c r="C207" s="218"/>
      <c r="D207" s="218"/>
      <c r="E207" s="218"/>
      <c r="F207" s="218"/>
      <c r="G207" s="219"/>
      <c r="H207" s="218"/>
      <c r="I207" s="218"/>
      <c r="J207" s="218"/>
    </row>
    <row r="208" spans="1:10" x14ac:dyDescent="0.2">
      <c r="A208" s="58">
        <f t="shared" si="43"/>
        <v>42</v>
      </c>
      <c r="B208" s="420" t="str">
        <f t="shared" si="44"/>
        <v/>
      </c>
      <c r="C208" s="218"/>
      <c r="D208" s="218"/>
      <c r="E208" s="218"/>
      <c r="F208" s="218"/>
      <c r="G208" s="219"/>
      <c r="H208" s="218"/>
      <c r="I208" s="218"/>
      <c r="J208" s="218"/>
    </row>
    <row r="209" spans="1:10" x14ac:dyDescent="0.2">
      <c r="A209" s="59">
        <f t="shared" si="43"/>
        <v>42</v>
      </c>
      <c r="B209" s="420" t="str">
        <f t="shared" si="44"/>
        <v/>
      </c>
      <c r="C209" s="220"/>
      <c r="D209" s="220"/>
      <c r="E209" s="220"/>
      <c r="F209" s="220"/>
      <c r="G209" s="221"/>
      <c r="H209" s="220"/>
      <c r="I209" s="220"/>
      <c r="J209" s="220"/>
    </row>
    <row r="210" spans="1:10" x14ac:dyDescent="0.2">
      <c r="A210" s="59">
        <f t="shared" si="43"/>
        <v>42</v>
      </c>
      <c r="B210" s="420" t="str">
        <f t="shared" si="44"/>
        <v/>
      </c>
      <c r="C210" s="220"/>
      <c r="D210" s="220"/>
      <c r="E210" s="220"/>
      <c r="F210" s="220"/>
      <c r="G210" s="221"/>
      <c r="H210" s="220"/>
      <c r="I210" s="220"/>
      <c r="J210" s="220"/>
    </row>
    <row r="211" spans="1:10" x14ac:dyDescent="0.2">
      <c r="A211" s="59">
        <f t="shared" si="43"/>
        <v>42</v>
      </c>
      <c r="B211" s="420" t="str">
        <f t="shared" si="44"/>
        <v/>
      </c>
      <c r="C211" s="220"/>
      <c r="D211" s="220"/>
      <c r="E211" s="220"/>
      <c r="F211" s="220"/>
      <c r="G211" s="221"/>
      <c r="H211" s="220"/>
      <c r="I211" s="220"/>
      <c r="J211" s="220"/>
    </row>
    <row r="212" spans="1:10" x14ac:dyDescent="0.2">
      <c r="A212" s="60">
        <f t="shared" si="43"/>
        <v>42</v>
      </c>
      <c r="B212" s="420" t="str">
        <f t="shared" si="44"/>
        <v/>
      </c>
      <c r="C212" s="222"/>
      <c r="D212" s="222"/>
      <c r="E212" s="222"/>
      <c r="F212" s="222"/>
      <c r="G212" s="223"/>
      <c r="H212" s="222"/>
      <c r="I212" s="222"/>
      <c r="J212" s="222"/>
    </row>
    <row r="213" spans="1:10" x14ac:dyDescent="0.2">
      <c r="A213" s="30">
        <v>42</v>
      </c>
      <c r="B213" s="419" t="str">
        <f>"Total "&amp;A213</f>
        <v>Total 42</v>
      </c>
      <c r="C213" s="31" t="str">
        <f>IF(AND(C206=0,C207=0,C208=0,C209=0,C210=0,C211=0,C212=0),"",SUM(C206:C212))</f>
        <v/>
      </c>
      <c r="D213" s="31" t="str">
        <f>IF(AND(D206=0,D207=0,D208=0,D209=0,D210=0,D211=0,D212=0),"",SUM(D206:D212))</f>
        <v/>
      </c>
      <c r="E213" s="31">
        <f>IF(AND(E206=0,E207=0,E208=0,E209=0,E210=0,E211=0,E212=0),0,SUM(E206:E212))</f>
        <v>0</v>
      </c>
      <c r="F213" s="31">
        <f>IF(AND(F206=0,F207=0,F208=0,F209=0,F210=0,F211=0,F212=0),0,SUM(F206:F212))</f>
        <v>0</v>
      </c>
      <c r="G213" s="32" t="str">
        <f>IF(AND(G206=0,G207=0,G208=0,G209=0,G210=0,G211=0,G212=0),"",AVERAGE(G206:G212))</f>
        <v/>
      </c>
      <c r="H213" s="31">
        <f>IF(AND(H206=0,H207=0,H208=0,H209=0,H210=0,H211=0,H212=0),0,SUM(H206:H212))</f>
        <v>0</v>
      </c>
      <c r="I213" s="31" t="str">
        <f>IF(AND(I206=0,I207=0,I208=0,I209=0,I210=0,I211=0,I212=0),"",SUM(I206:I212))</f>
        <v/>
      </c>
      <c r="J213" s="31">
        <f>IF(AND(J206=0,J207=0,J208=0,J209=0,J210=0,J211=0,J212=0),0,AVERAGE(J206:J212))</f>
        <v>0</v>
      </c>
    </row>
    <row r="214" spans="1:10" x14ac:dyDescent="0.2">
      <c r="A214" s="58">
        <f t="shared" ref="A214:A220" si="45">A206+1</f>
        <v>43</v>
      </c>
      <c r="B214" s="420" t="str">
        <f>IF(B212&lt;&gt;"",B212+1,"")</f>
        <v/>
      </c>
      <c r="C214" s="218"/>
      <c r="D214" s="218"/>
      <c r="E214" s="218"/>
      <c r="F214" s="218"/>
      <c r="G214" s="219"/>
      <c r="H214" s="218"/>
      <c r="I214" s="218"/>
      <c r="J214" s="218"/>
    </row>
    <row r="215" spans="1:10" x14ac:dyDescent="0.2">
      <c r="A215" s="58">
        <f t="shared" si="45"/>
        <v>43</v>
      </c>
      <c r="B215" s="420" t="str">
        <f t="shared" ref="B215:B220" si="46">IF(B214&lt;&gt;"",B214+1,"")</f>
        <v/>
      </c>
      <c r="C215" s="218"/>
      <c r="D215" s="218"/>
      <c r="E215" s="218"/>
      <c r="F215" s="218"/>
      <c r="G215" s="219"/>
      <c r="H215" s="218"/>
      <c r="I215" s="218"/>
      <c r="J215" s="218"/>
    </row>
    <row r="216" spans="1:10" x14ac:dyDescent="0.2">
      <c r="A216" s="58">
        <f t="shared" si="45"/>
        <v>43</v>
      </c>
      <c r="B216" s="420" t="str">
        <f t="shared" si="46"/>
        <v/>
      </c>
      <c r="C216" s="218"/>
      <c r="D216" s="218"/>
      <c r="E216" s="218"/>
      <c r="F216" s="218"/>
      <c r="G216" s="219"/>
      <c r="H216" s="218"/>
      <c r="I216" s="218"/>
      <c r="J216" s="218"/>
    </row>
    <row r="217" spans="1:10" x14ac:dyDescent="0.2">
      <c r="A217" s="59">
        <f t="shared" si="45"/>
        <v>43</v>
      </c>
      <c r="B217" s="420" t="str">
        <f t="shared" si="46"/>
        <v/>
      </c>
      <c r="C217" s="220"/>
      <c r="D217" s="220"/>
      <c r="E217" s="220"/>
      <c r="F217" s="220"/>
      <c r="G217" s="221"/>
      <c r="H217" s="220"/>
      <c r="I217" s="220"/>
      <c r="J217" s="220"/>
    </row>
    <row r="218" spans="1:10" x14ac:dyDescent="0.2">
      <c r="A218" s="59">
        <f t="shared" si="45"/>
        <v>43</v>
      </c>
      <c r="B218" s="420" t="str">
        <f t="shared" si="46"/>
        <v/>
      </c>
      <c r="C218" s="220"/>
      <c r="D218" s="220"/>
      <c r="E218" s="220"/>
      <c r="F218" s="220"/>
      <c r="G218" s="221"/>
      <c r="H218" s="220"/>
      <c r="I218" s="220"/>
      <c r="J218" s="220"/>
    </row>
    <row r="219" spans="1:10" x14ac:dyDescent="0.2">
      <c r="A219" s="59">
        <f t="shared" si="45"/>
        <v>43</v>
      </c>
      <c r="B219" s="420" t="str">
        <f t="shared" si="46"/>
        <v/>
      </c>
      <c r="C219" s="220"/>
      <c r="D219" s="220"/>
      <c r="E219" s="220"/>
      <c r="F219" s="220"/>
      <c r="G219" s="221"/>
      <c r="H219" s="220"/>
      <c r="I219" s="220"/>
      <c r="J219" s="220"/>
    </row>
    <row r="220" spans="1:10" x14ac:dyDescent="0.2">
      <c r="A220" s="60">
        <f t="shared" si="45"/>
        <v>43</v>
      </c>
      <c r="B220" s="420" t="str">
        <f t="shared" si="46"/>
        <v/>
      </c>
      <c r="C220" s="222"/>
      <c r="D220" s="222"/>
      <c r="E220" s="222"/>
      <c r="F220" s="222"/>
      <c r="G220" s="223"/>
      <c r="H220" s="222"/>
      <c r="I220" s="222"/>
      <c r="J220" s="222"/>
    </row>
    <row r="221" spans="1:10" x14ac:dyDescent="0.2">
      <c r="A221" s="30">
        <v>43</v>
      </c>
      <c r="B221" s="419" t="str">
        <f>"Total "&amp;A221</f>
        <v>Total 43</v>
      </c>
      <c r="C221" s="31" t="str">
        <f>IF(AND(C214=0,C215=0,C216=0,C217=0,C218=0,C219=0,C220=0),"",SUM(C214:C220))</f>
        <v/>
      </c>
      <c r="D221" s="31" t="str">
        <f>IF(AND(D214=0,D215=0,D216=0,D217=0,D218=0,D219=0,D220=0),"",SUM(D214:D220))</f>
        <v/>
      </c>
      <c r="E221" s="31">
        <f>IF(AND(E214=0,E215=0,E216=0,E217=0,E218=0,E219=0,E220=0),0,SUM(E214:E220))</f>
        <v>0</v>
      </c>
      <c r="F221" s="31">
        <f>IF(AND(F214=0,F215=0,F216=0,F217=0,F218=0,F219=0,F220=0),0,SUM(F214:F220))</f>
        <v>0</v>
      </c>
      <c r="G221" s="32" t="str">
        <f>IF(AND(G214=0,G215=0,G216=0,G217=0,G218=0,G219=0,G220=0),"",AVERAGE(G214:G220))</f>
        <v/>
      </c>
      <c r="H221" s="31">
        <f>IF(AND(H214=0,H215=0,H216=0,H217=0,H218=0,H219=0,H220=0),0,SUM(H214:H220))</f>
        <v>0</v>
      </c>
      <c r="I221" s="31" t="str">
        <f>IF(AND(I214=0,I215=0,I216=0,I217=0,I218=0,I219=0,I220=0),"",SUM(I214:I220))</f>
        <v/>
      </c>
      <c r="J221" s="31">
        <f>IF(AND(J214=0,J215=0,J216=0,J217=0,J218=0,J219=0,J220=0),0,AVERAGE(J214:J220))</f>
        <v>0</v>
      </c>
    </row>
    <row r="222" spans="1:10" x14ac:dyDescent="0.2">
      <c r="A222" s="58">
        <f t="shared" ref="A222:A228" si="47">A214+1</f>
        <v>44</v>
      </c>
      <c r="B222" s="420" t="str">
        <f>IF(B220&lt;&gt;"",B220+1,"")</f>
        <v/>
      </c>
      <c r="C222" s="218"/>
      <c r="D222" s="218"/>
      <c r="E222" s="218"/>
      <c r="F222" s="218"/>
      <c r="G222" s="219"/>
      <c r="H222" s="218"/>
      <c r="I222" s="218"/>
      <c r="J222" s="218"/>
    </row>
    <row r="223" spans="1:10" x14ac:dyDescent="0.2">
      <c r="A223" s="58">
        <f t="shared" si="47"/>
        <v>44</v>
      </c>
      <c r="B223" s="420" t="str">
        <f t="shared" ref="B223:B228" si="48">IF(B222&lt;&gt;"",B222+1,"")</f>
        <v/>
      </c>
      <c r="C223" s="218"/>
      <c r="D223" s="218"/>
      <c r="E223" s="218"/>
      <c r="F223" s="218"/>
      <c r="G223" s="219"/>
      <c r="H223" s="218"/>
      <c r="I223" s="218"/>
      <c r="J223" s="218"/>
    </row>
    <row r="224" spans="1:10" x14ac:dyDescent="0.2">
      <c r="A224" s="58">
        <f t="shared" si="47"/>
        <v>44</v>
      </c>
      <c r="B224" s="420" t="str">
        <f t="shared" si="48"/>
        <v/>
      </c>
      <c r="C224" s="218"/>
      <c r="D224" s="218"/>
      <c r="E224" s="218"/>
      <c r="F224" s="218"/>
      <c r="G224" s="219"/>
      <c r="H224" s="218"/>
      <c r="I224" s="218"/>
      <c r="J224" s="218"/>
    </row>
    <row r="225" spans="1:10" x14ac:dyDescent="0.2">
      <c r="A225" s="59">
        <f t="shared" si="47"/>
        <v>44</v>
      </c>
      <c r="B225" s="420" t="str">
        <f t="shared" si="48"/>
        <v/>
      </c>
      <c r="C225" s="220"/>
      <c r="D225" s="220"/>
      <c r="E225" s="220"/>
      <c r="F225" s="220"/>
      <c r="G225" s="221"/>
      <c r="H225" s="220"/>
      <c r="I225" s="220"/>
      <c r="J225" s="220"/>
    </row>
    <row r="226" spans="1:10" x14ac:dyDescent="0.2">
      <c r="A226" s="59">
        <f t="shared" si="47"/>
        <v>44</v>
      </c>
      <c r="B226" s="420" t="str">
        <f t="shared" si="48"/>
        <v/>
      </c>
      <c r="C226" s="220"/>
      <c r="D226" s="220"/>
      <c r="E226" s="220"/>
      <c r="F226" s="220"/>
      <c r="G226" s="221"/>
      <c r="H226" s="220"/>
      <c r="I226" s="220"/>
      <c r="J226" s="220"/>
    </row>
    <row r="227" spans="1:10" x14ac:dyDescent="0.2">
      <c r="A227" s="59">
        <f t="shared" si="47"/>
        <v>44</v>
      </c>
      <c r="B227" s="420" t="str">
        <f t="shared" si="48"/>
        <v/>
      </c>
      <c r="C227" s="220"/>
      <c r="D227" s="220"/>
      <c r="E227" s="220"/>
      <c r="F227" s="220"/>
      <c r="G227" s="221"/>
      <c r="H227" s="220"/>
      <c r="I227" s="220"/>
      <c r="J227" s="220"/>
    </row>
    <row r="228" spans="1:10" x14ac:dyDescent="0.2">
      <c r="A228" s="60">
        <f t="shared" si="47"/>
        <v>44</v>
      </c>
      <c r="B228" s="420" t="str">
        <f t="shared" si="48"/>
        <v/>
      </c>
      <c r="C228" s="222"/>
      <c r="D228" s="222"/>
      <c r="E228" s="222"/>
      <c r="F228" s="222"/>
      <c r="G228" s="223"/>
      <c r="H228" s="222"/>
      <c r="I228" s="222"/>
      <c r="J228" s="222"/>
    </row>
    <row r="229" spans="1:10" x14ac:dyDescent="0.2">
      <c r="A229" s="30">
        <v>44</v>
      </c>
      <c r="B229" s="419" t="str">
        <f>"Total "&amp;A229</f>
        <v>Total 44</v>
      </c>
      <c r="C229" s="31" t="str">
        <f>IF(AND(C222=0,C223=0,C224=0,C225=0,C226=0,C227=0,C228=0),"",SUM(C222:C228))</f>
        <v/>
      </c>
      <c r="D229" s="31" t="str">
        <f>IF(AND(D222=0,D223=0,D224=0,D225=0,D226=0,D227=0,D228=0),"",SUM(D222:D228))</f>
        <v/>
      </c>
      <c r="E229" s="31">
        <f>IF(AND(E222=0,E223=0,E224=0,E225=0,E226=0,E227=0,E228=0),0,SUM(E222:E228))</f>
        <v>0</v>
      </c>
      <c r="F229" s="31">
        <f>IF(AND(F222=0,F223=0,F224=0,F225=0,F226=0,F227=0,F228=0),0,SUM(F222:F228))</f>
        <v>0</v>
      </c>
      <c r="G229" s="32" t="str">
        <f>IF(AND(G222=0,G223=0,G224=0,G225=0,G226=0,G227=0,G228=0),"",AVERAGE(G222:G228))</f>
        <v/>
      </c>
      <c r="H229" s="31">
        <f>IF(AND(H222=0,H223=0,H224=0,H225=0,H226=0,H227=0,H228=0),0,SUM(H222:H228))</f>
        <v>0</v>
      </c>
      <c r="I229" s="31" t="str">
        <f>IF(AND(I222=0,I223=0,I224=0,I225=0,I226=0,I227=0,I228=0),"",SUM(I222:I228))</f>
        <v/>
      </c>
      <c r="J229" s="31">
        <f>IF(AND(J222=0,J223=0,J224=0,J225=0,J226=0,J227=0,J228=0),0,AVERAGE(J222:J228))</f>
        <v>0</v>
      </c>
    </row>
    <row r="230" spans="1:10" x14ac:dyDescent="0.2">
      <c r="A230" s="58">
        <f t="shared" ref="A230:A236" si="49">A222+1</f>
        <v>45</v>
      </c>
      <c r="B230" s="420" t="str">
        <f>IF(B228&lt;&gt;"",B228+1,"")</f>
        <v/>
      </c>
      <c r="C230" s="218"/>
      <c r="D230" s="218"/>
      <c r="E230" s="218"/>
      <c r="F230" s="218"/>
      <c r="G230" s="219"/>
      <c r="H230" s="218"/>
      <c r="I230" s="218"/>
      <c r="J230" s="218"/>
    </row>
    <row r="231" spans="1:10" x14ac:dyDescent="0.2">
      <c r="A231" s="58">
        <f t="shared" si="49"/>
        <v>45</v>
      </c>
      <c r="B231" s="420" t="str">
        <f t="shared" ref="B231:B236" si="50">IF(B230&lt;&gt;"",B230+1,"")</f>
        <v/>
      </c>
      <c r="C231" s="218"/>
      <c r="D231" s="218"/>
      <c r="E231" s="218"/>
      <c r="F231" s="218"/>
      <c r="G231" s="219"/>
      <c r="H231" s="218"/>
      <c r="I231" s="218"/>
      <c r="J231" s="218"/>
    </row>
    <row r="232" spans="1:10" x14ac:dyDescent="0.2">
      <c r="A232" s="58">
        <f t="shared" si="49"/>
        <v>45</v>
      </c>
      <c r="B232" s="420" t="str">
        <f t="shared" si="50"/>
        <v/>
      </c>
      <c r="C232" s="218"/>
      <c r="D232" s="218"/>
      <c r="E232" s="218"/>
      <c r="F232" s="218"/>
      <c r="G232" s="219"/>
      <c r="H232" s="218"/>
      <c r="I232" s="218"/>
      <c r="J232" s="218"/>
    </row>
    <row r="233" spans="1:10" x14ac:dyDescent="0.2">
      <c r="A233" s="59">
        <f t="shared" si="49"/>
        <v>45</v>
      </c>
      <c r="B233" s="420" t="str">
        <f t="shared" si="50"/>
        <v/>
      </c>
      <c r="C233" s="220"/>
      <c r="D233" s="220"/>
      <c r="E233" s="220"/>
      <c r="F233" s="220"/>
      <c r="G233" s="221"/>
      <c r="H233" s="220"/>
      <c r="I233" s="220"/>
      <c r="J233" s="220"/>
    </row>
    <row r="234" spans="1:10" x14ac:dyDescent="0.2">
      <c r="A234" s="59">
        <f t="shared" si="49"/>
        <v>45</v>
      </c>
      <c r="B234" s="420" t="str">
        <f t="shared" si="50"/>
        <v/>
      </c>
      <c r="C234" s="220"/>
      <c r="D234" s="220"/>
      <c r="E234" s="220"/>
      <c r="F234" s="220"/>
      <c r="G234" s="221"/>
      <c r="H234" s="220"/>
      <c r="I234" s="220"/>
      <c r="J234" s="220"/>
    </row>
    <row r="235" spans="1:10" x14ac:dyDescent="0.2">
      <c r="A235" s="59">
        <f t="shared" si="49"/>
        <v>45</v>
      </c>
      <c r="B235" s="420" t="str">
        <f t="shared" si="50"/>
        <v/>
      </c>
      <c r="C235" s="220"/>
      <c r="D235" s="220"/>
      <c r="E235" s="220"/>
      <c r="F235" s="220"/>
      <c r="G235" s="221"/>
      <c r="H235" s="220"/>
      <c r="I235" s="220"/>
      <c r="J235" s="220"/>
    </row>
    <row r="236" spans="1:10" x14ac:dyDescent="0.2">
      <c r="A236" s="60">
        <f t="shared" si="49"/>
        <v>45</v>
      </c>
      <c r="B236" s="420" t="str">
        <f t="shared" si="50"/>
        <v/>
      </c>
      <c r="C236" s="222"/>
      <c r="D236" s="222"/>
      <c r="E236" s="222"/>
      <c r="F236" s="222"/>
      <c r="G236" s="223"/>
      <c r="H236" s="222"/>
      <c r="I236" s="222"/>
      <c r="J236" s="222"/>
    </row>
    <row r="237" spans="1:10" x14ac:dyDescent="0.2">
      <c r="A237" s="30">
        <v>45</v>
      </c>
      <c r="B237" s="419" t="str">
        <f>"Total "&amp;A237</f>
        <v>Total 45</v>
      </c>
      <c r="C237" s="31" t="str">
        <f>IF(AND(C230=0,C231=0,C232=0,C233=0,C234=0,C235=0,C236=0),"",SUM(C230:C236))</f>
        <v/>
      </c>
      <c r="D237" s="31" t="str">
        <f>IF(AND(D230=0,D231=0,D232=0,D233=0,D234=0,D235=0,D236=0),"",SUM(D230:D236))</f>
        <v/>
      </c>
      <c r="E237" s="31">
        <f>IF(AND(E230=0,E231=0,E232=0,E233=0,E234=0,E235=0,E236=0),0,SUM(E230:E236))</f>
        <v>0</v>
      </c>
      <c r="F237" s="31">
        <f>IF(AND(F230=0,F231=0,F232=0,F233=0,F234=0,F235=0,F236=0),0,SUM(F230:F236))</f>
        <v>0</v>
      </c>
      <c r="G237" s="32" t="str">
        <f>IF(AND(G230=0,G231=0,G232=0,G233=0,G234=0,G235=0,G236=0),"",AVERAGE(G230:G236))</f>
        <v/>
      </c>
      <c r="H237" s="31">
        <f>IF(AND(H230=0,H231=0,H232=0,H233=0,H234=0,H235=0,H236=0),0,SUM(H230:H236))</f>
        <v>0</v>
      </c>
      <c r="I237" s="31" t="str">
        <f>IF(AND(I230=0,I231=0,I232=0,I233=0,I234=0,I235=0,I236=0),"",SUM(I230:I236))</f>
        <v/>
      </c>
      <c r="J237" s="31">
        <f>IF(AND(J230=0,J231=0,J232=0,J233=0,J234=0,J235=0,J236=0),0,AVERAGE(J230:J236))</f>
        <v>0</v>
      </c>
    </row>
    <row r="238" spans="1:10" x14ac:dyDescent="0.2">
      <c r="A238" s="58">
        <f t="shared" ref="A238:A244" si="51">A230+1</f>
        <v>46</v>
      </c>
      <c r="B238" s="420" t="str">
        <f>IF(B236&lt;&gt;"",B236+1,"")</f>
        <v/>
      </c>
      <c r="C238" s="218"/>
      <c r="D238" s="218"/>
      <c r="E238" s="218"/>
      <c r="F238" s="218"/>
      <c r="G238" s="219"/>
      <c r="H238" s="218"/>
      <c r="I238" s="218"/>
      <c r="J238" s="218"/>
    </row>
    <row r="239" spans="1:10" x14ac:dyDescent="0.2">
      <c r="A239" s="58">
        <f t="shared" si="51"/>
        <v>46</v>
      </c>
      <c r="B239" s="420" t="str">
        <f t="shared" ref="B239:B244" si="52">IF(B238&lt;&gt;"",B238+1,"")</f>
        <v/>
      </c>
      <c r="C239" s="218"/>
      <c r="D239" s="218"/>
      <c r="E239" s="218"/>
      <c r="F239" s="218"/>
      <c r="G239" s="219"/>
      <c r="H239" s="218"/>
      <c r="I239" s="218"/>
      <c r="J239" s="218"/>
    </row>
    <row r="240" spans="1:10" x14ac:dyDescent="0.2">
      <c r="A240" s="58">
        <f t="shared" si="51"/>
        <v>46</v>
      </c>
      <c r="B240" s="420" t="str">
        <f t="shared" si="52"/>
        <v/>
      </c>
      <c r="C240" s="218"/>
      <c r="D240" s="218"/>
      <c r="E240" s="218"/>
      <c r="F240" s="218"/>
      <c r="G240" s="219"/>
      <c r="H240" s="218"/>
      <c r="I240" s="218"/>
      <c r="J240" s="218"/>
    </row>
    <row r="241" spans="1:10" x14ac:dyDescent="0.2">
      <c r="A241" s="59">
        <f t="shared" si="51"/>
        <v>46</v>
      </c>
      <c r="B241" s="420" t="str">
        <f t="shared" si="52"/>
        <v/>
      </c>
      <c r="C241" s="220"/>
      <c r="D241" s="220"/>
      <c r="E241" s="220"/>
      <c r="F241" s="220"/>
      <c r="G241" s="221"/>
      <c r="H241" s="220"/>
      <c r="I241" s="220"/>
      <c r="J241" s="220"/>
    </row>
    <row r="242" spans="1:10" x14ac:dyDescent="0.2">
      <c r="A242" s="59">
        <f t="shared" si="51"/>
        <v>46</v>
      </c>
      <c r="B242" s="420" t="str">
        <f t="shared" si="52"/>
        <v/>
      </c>
      <c r="C242" s="220"/>
      <c r="D242" s="220"/>
      <c r="E242" s="220"/>
      <c r="F242" s="220"/>
      <c r="G242" s="221"/>
      <c r="H242" s="220"/>
      <c r="I242" s="220"/>
      <c r="J242" s="220"/>
    </row>
    <row r="243" spans="1:10" x14ac:dyDescent="0.2">
      <c r="A243" s="59">
        <f t="shared" si="51"/>
        <v>46</v>
      </c>
      <c r="B243" s="420" t="str">
        <f t="shared" si="52"/>
        <v/>
      </c>
      <c r="C243" s="220"/>
      <c r="D243" s="220"/>
      <c r="E243" s="220"/>
      <c r="F243" s="220"/>
      <c r="G243" s="221"/>
      <c r="H243" s="220"/>
      <c r="I243" s="220"/>
      <c r="J243" s="220"/>
    </row>
    <row r="244" spans="1:10" x14ac:dyDescent="0.2">
      <c r="A244" s="60">
        <f t="shared" si="51"/>
        <v>46</v>
      </c>
      <c r="B244" s="420" t="str">
        <f t="shared" si="52"/>
        <v/>
      </c>
      <c r="C244" s="222"/>
      <c r="D244" s="222"/>
      <c r="E244" s="222"/>
      <c r="F244" s="222"/>
      <c r="G244" s="223"/>
      <c r="H244" s="222"/>
      <c r="I244" s="222"/>
      <c r="J244" s="222"/>
    </row>
    <row r="245" spans="1:10" x14ac:dyDescent="0.2">
      <c r="A245" s="30">
        <v>46</v>
      </c>
      <c r="B245" s="419" t="str">
        <f>"Total "&amp;A245</f>
        <v>Total 46</v>
      </c>
      <c r="C245" s="31" t="str">
        <f>IF(AND(C238=0,C239=0,C240=0,C241=0,C242=0,C243=0,C244=0),"",SUM(C238:C244))</f>
        <v/>
      </c>
      <c r="D245" s="31" t="str">
        <f>IF(AND(D238=0,D239=0,D240=0,D241=0,D242=0,D243=0,D244=0),"",SUM(D238:D244))</f>
        <v/>
      </c>
      <c r="E245" s="31">
        <f>IF(AND(E238=0,E239=0,E240=0,E241=0,E242=0,E243=0,E244=0),0,SUM(E238:E244))</f>
        <v>0</v>
      </c>
      <c r="F245" s="31">
        <f>IF(AND(F238=0,F239=0,F240=0,F241=0,F242=0,F243=0,F244=0),0,SUM(F238:F244))</f>
        <v>0</v>
      </c>
      <c r="G245" s="32" t="str">
        <f>IF(AND(G238=0,G239=0,G240=0,G241=0,G242=0,G243=0,G244=0),"",AVERAGE(G238:G244))</f>
        <v/>
      </c>
      <c r="H245" s="31">
        <f>IF(AND(H238=0,H239=0,H240=0,H241=0,H242=0,H243=0,H244=0),0,SUM(H238:H244))</f>
        <v>0</v>
      </c>
      <c r="I245" s="31" t="str">
        <f>IF(AND(I238=0,I239=0,I240=0,I241=0,I242=0,I243=0,I244=0),"",SUM(I238:I244))</f>
        <v/>
      </c>
      <c r="J245" s="31">
        <f>IF(AND(J238=0,J239=0,J240=0,J241=0,J242=0,J243=0,J244=0),0,AVERAGE(J238:J244))</f>
        <v>0</v>
      </c>
    </row>
    <row r="246" spans="1:10" x14ac:dyDescent="0.2">
      <c r="A246" s="58">
        <f t="shared" ref="A246:A252" si="53">A238+1</f>
        <v>47</v>
      </c>
      <c r="B246" s="420" t="str">
        <f>IF(B244&lt;&gt;"",B244+1,"")</f>
        <v/>
      </c>
      <c r="C246" s="218"/>
      <c r="D246" s="218"/>
      <c r="E246" s="218"/>
      <c r="F246" s="218"/>
      <c r="G246" s="219"/>
      <c r="H246" s="218"/>
      <c r="I246" s="218"/>
      <c r="J246" s="218"/>
    </row>
    <row r="247" spans="1:10" x14ac:dyDescent="0.2">
      <c r="A247" s="58">
        <f t="shared" si="53"/>
        <v>47</v>
      </c>
      <c r="B247" s="420" t="str">
        <f t="shared" ref="B247:B252" si="54">IF(B246&lt;&gt;"",B246+1,"")</f>
        <v/>
      </c>
      <c r="C247" s="218"/>
      <c r="D247" s="218"/>
      <c r="E247" s="218"/>
      <c r="F247" s="218"/>
      <c r="G247" s="219"/>
      <c r="H247" s="218"/>
      <c r="I247" s="218"/>
      <c r="J247" s="218"/>
    </row>
    <row r="248" spans="1:10" x14ac:dyDescent="0.2">
      <c r="A248" s="58">
        <f t="shared" si="53"/>
        <v>47</v>
      </c>
      <c r="B248" s="420" t="str">
        <f t="shared" si="54"/>
        <v/>
      </c>
      <c r="C248" s="218"/>
      <c r="D248" s="218"/>
      <c r="E248" s="218"/>
      <c r="F248" s="218"/>
      <c r="G248" s="219"/>
      <c r="H248" s="218"/>
      <c r="I248" s="218"/>
      <c r="J248" s="218"/>
    </row>
    <row r="249" spans="1:10" x14ac:dyDescent="0.2">
      <c r="A249" s="59">
        <f t="shared" si="53"/>
        <v>47</v>
      </c>
      <c r="B249" s="420" t="str">
        <f t="shared" si="54"/>
        <v/>
      </c>
      <c r="C249" s="220"/>
      <c r="D249" s="220"/>
      <c r="E249" s="220"/>
      <c r="F249" s="220"/>
      <c r="G249" s="221"/>
      <c r="H249" s="220"/>
      <c r="I249" s="220"/>
      <c r="J249" s="220"/>
    </row>
    <row r="250" spans="1:10" x14ac:dyDescent="0.2">
      <c r="A250" s="59">
        <f t="shared" si="53"/>
        <v>47</v>
      </c>
      <c r="B250" s="420" t="str">
        <f t="shared" si="54"/>
        <v/>
      </c>
      <c r="C250" s="220"/>
      <c r="D250" s="220"/>
      <c r="E250" s="220"/>
      <c r="F250" s="220"/>
      <c r="G250" s="221"/>
      <c r="H250" s="220"/>
      <c r="I250" s="220"/>
      <c r="J250" s="220"/>
    </row>
    <row r="251" spans="1:10" x14ac:dyDescent="0.2">
      <c r="A251" s="59">
        <f t="shared" si="53"/>
        <v>47</v>
      </c>
      <c r="B251" s="420" t="str">
        <f t="shared" si="54"/>
        <v/>
      </c>
      <c r="C251" s="220"/>
      <c r="D251" s="220"/>
      <c r="E251" s="220"/>
      <c r="F251" s="220"/>
      <c r="G251" s="221"/>
      <c r="H251" s="220"/>
      <c r="I251" s="220"/>
      <c r="J251" s="220"/>
    </row>
    <row r="252" spans="1:10" x14ac:dyDescent="0.2">
      <c r="A252" s="60">
        <f t="shared" si="53"/>
        <v>47</v>
      </c>
      <c r="B252" s="420" t="str">
        <f t="shared" si="54"/>
        <v/>
      </c>
      <c r="C252" s="222"/>
      <c r="D252" s="222"/>
      <c r="E252" s="222"/>
      <c r="F252" s="222"/>
      <c r="G252" s="223"/>
      <c r="H252" s="222"/>
      <c r="I252" s="222"/>
      <c r="J252" s="222"/>
    </row>
    <row r="253" spans="1:10" x14ac:dyDescent="0.2">
      <c r="A253" s="30">
        <v>47</v>
      </c>
      <c r="B253" s="419" t="str">
        <f>"Total "&amp;A253</f>
        <v>Total 47</v>
      </c>
      <c r="C253" s="31" t="str">
        <f>IF(AND(C246=0,C247=0,C248=0,C249=0,C250=0,C251=0,C252=0),"",SUM(C246:C252))</f>
        <v/>
      </c>
      <c r="D253" s="31" t="str">
        <f>IF(AND(D246=0,D247=0,D248=0,D249=0,D250=0,D251=0,D252=0),"",SUM(D246:D252))</f>
        <v/>
      </c>
      <c r="E253" s="31">
        <f>IF(AND(E246=0,E247=0,E248=0,E249=0,E250=0,E251=0,E252=0),0,SUM(E246:E252))</f>
        <v>0</v>
      </c>
      <c r="F253" s="31">
        <f>IF(AND(F246=0,F247=0,F248=0,F249=0,F250=0,F251=0,F252=0),0,SUM(F246:F252))</f>
        <v>0</v>
      </c>
      <c r="G253" s="32" t="str">
        <f>IF(AND(G246=0,G247=0,G248=0,G249=0,G250=0,G251=0,G252=0),"",AVERAGE(G246:G252))</f>
        <v/>
      </c>
      <c r="H253" s="31">
        <f>IF(AND(H246=0,H247=0,H248=0,H249=0,H250=0,H251=0,H252=0),0,SUM(H246:H252))</f>
        <v>0</v>
      </c>
      <c r="I253" s="31" t="str">
        <f>IF(AND(I246=0,I247=0,I248=0,I249=0,I250=0,I251=0,I252=0),"",SUM(I246:I252))</f>
        <v/>
      </c>
      <c r="J253" s="31">
        <f>IF(AND(J246=0,J247=0,J248=0,J249=0,J250=0,J251=0,J252=0),0,AVERAGE(J246:J252))</f>
        <v>0</v>
      </c>
    </row>
    <row r="254" spans="1:10" x14ac:dyDescent="0.2">
      <c r="A254" s="58">
        <f t="shared" ref="A254:A260" si="55">A246+1</f>
        <v>48</v>
      </c>
      <c r="B254" s="420" t="str">
        <f>IF(B252&lt;&gt;"",B252+1,"")</f>
        <v/>
      </c>
      <c r="C254" s="218"/>
      <c r="D254" s="218"/>
      <c r="E254" s="218"/>
      <c r="F254" s="218"/>
      <c r="G254" s="219"/>
      <c r="H254" s="218"/>
      <c r="I254" s="218"/>
      <c r="J254" s="218"/>
    </row>
    <row r="255" spans="1:10" x14ac:dyDescent="0.2">
      <c r="A255" s="58">
        <f t="shared" si="55"/>
        <v>48</v>
      </c>
      <c r="B255" s="420" t="str">
        <f t="shared" ref="B255:B260" si="56">IF(B254&lt;&gt;"",B254+1,"")</f>
        <v/>
      </c>
      <c r="C255" s="218"/>
      <c r="D255" s="218"/>
      <c r="E255" s="218"/>
      <c r="F255" s="218"/>
      <c r="G255" s="219"/>
      <c r="H255" s="218"/>
      <c r="I255" s="218"/>
      <c r="J255" s="218"/>
    </row>
    <row r="256" spans="1:10" x14ac:dyDescent="0.2">
      <c r="A256" s="58">
        <f t="shared" si="55"/>
        <v>48</v>
      </c>
      <c r="B256" s="420" t="str">
        <f t="shared" si="56"/>
        <v/>
      </c>
      <c r="C256" s="218"/>
      <c r="D256" s="218"/>
      <c r="E256" s="218"/>
      <c r="F256" s="218"/>
      <c r="G256" s="219"/>
      <c r="H256" s="218"/>
      <c r="I256" s="218"/>
      <c r="J256" s="218"/>
    </row>
    <row r="257" spans="1:10" x14ac:dyDescent="0.2">
      <c r="A257" s="59">
        <f t="shared" si="55"/>
        <v>48</v>
      </c>
      <c r="B257" s="420" t="str">
        <f t="shared" si="56"/>
        <v/>
      </c>
      <c r="C257" s="220"/>
      <c r="D257" s="220"/>
      <c r="E257" s="220"/>
      <c r="F257" s="220"/>
      <c r="G257" s="221"/>
      <c r="H257" s="220"/>
      <c r="I257" s="220"/>
      <c r="J257" s="220"/>
    </row>
    <row r="258" spans="1:10" x14ac:dyDescent="0.2">
      <c r="A258" s="59">
        <f t="shared" si="55"/>
        <v>48</v>
      </c>
      <c r="B258" s="420" t="str">
        <f t="shared" si="56"/>
        <v/>
      </c>
      <c r="C258" s="220"/>
      <c r="D258" s="220"/>
      <c r="E258" s="220"/>
      <c r="F258" s="220"/>
      <c r="G258" s="221"/>
      <c r="H258" s="220"/>
      <c r="I258" s="220"/>
      <c r="J258" s="220"/>
    </row>
    <row r="259" spans="1:10" x14ac:dyDescent="0.2">
      <c r="A259" s="59">
        <f t="shared" si="55"/>
        <v>48</v>
      </c>
      <c r="B259" s="420" t="str">
        <f t="shared" si="56"/>
        <v/>
      </c>
      <c r="C259" s="220"/>
      <c r="D259" s="220"/>
      <c r="E259" s="220"/>
      <c r="F259" s="220"/>
      <c r="G259" s="221"/>
      <c r="H259" s="220"/>
      <c r="I259" s="220"/>
      <c r="J259" s="220"/>
    </row>
    <row r="260" spans="1:10" x14ac:dyDescent="0.2">
      <c r="A260" s="60">
        <f t="shared" si="55"/>
        <v>48</v>
      </c>
      <c r="B260" s="420" t="str">
        <f t="shared" si="56"/>
        <v/>
      </c>
      <c r="C260" s="222"/>
      <c r="D260" s="222"/>
      <c r="E260" s="222"/>
      <c r="F260" s="222"/>
      <c r="G260" s="223"/>
      <c r="H260" s="222"/>
      <c r="I260" s="222"/>
      <c r="J260" s="222"/>
    </row>
    <row r="261" spans="1:10" x14ac:dyDescent="0.2">
      <c r="A261" s="30">
        <v>48</v>
      </c>
      <c r="B261" s="419" t="str">
        <f>"Total "&amp;A261</f>
        <v>Total 48</v>
      </c>
      <c r="C261" s="31" t="str">
        <f>IF(AND(C254=0,C255=0,C256=0,C257=0,C258=0,C259=0,C260=0),"",SUM(C254:C260))</f>
        <v/>
      </c>
      <c r="D261" s="31" t="str">
        <f>IF(AND(D254=0,D255=0,D256=0,D257=0,D258=0,D259=0,D260=0),"",SUM(D254:D260))</f>
        <v/>
      </c>
      <c r="E261" s="31">
        <f>IF(AND(E254=0,E255=0,E256=0,E257=0,E258=0,E259=0,E260=0),0,SUM(E254:E260))</f>
        <v>0</v>
      </c>
      <c r="F261" s="31">
        <f>IF(AND(F254=0,F255=0,F256=0,F257=0,F258=0,F259=0,F260=0),0,SUM(F254:F260))</f>
        <v>0</v>
      </c>
      <c r="G261" s="32" t="str">
        <f>IF(AND(G254=0,G255=0,G256=0,G257=0,G258=0,G259=0,G260=0),"",AVERAGE(G254:G260))</f>
        <v/>
      </c>
      <c r="H261" s="31">
        <f>IF(AND(H254=0,H255=0,H256=0,H257=0,H258=0,H259=0,H260=0),0,SUM(H254:H260))</f>
        <v>0</v>
      </c>
      <c r="I261" s="31" t="str">
        <f>IF(AND(I254=0,I255=0,I256=0,I257=0,I258=0,I259=0,I260=0),"",SUM(I254:I260))</f>
        <v/>
      </c>
      <c r="J261" s="31">
        <f>IF(AND(J254=0,J255=0,J256=0,J257=0,J258=0,J259=0,J260=0),0,AVERAGE(J254:J260))</f>
        <v>0</v>
      </c>
    </row>
    <row r="262" spans="1:10" x14ac:dyDescent="0.2">
      <c r="A262" s="58">
        <f t="shared" ref="A262:A268" si="57">A254+1</f>
        <v>49</v>
      </c>
      <c r="B262" s="420" t="str">
        <f>IF(B260&lt;&gt;"",B260+1,"")</f>
        <v/>
      </c>
      <c r="C262" s="218"/>
      <c r="D262" s="218"/>
      <c r="E262" s="218"/>
      <c r="F262" s="218"/>
      <c r="G262" s="219"/>
      <c r="H262" s="218"/>
      <c r="I262" s="218"/>
      <c r="J262" s="218"/>
    </row>
    <row r="263" spans="1:10" x14ac:dyDescent="0.2">
      <c r="A263" s="58">
        <f t="shared" si="57"/>
        <v>49</v>
      </c>
      <c r="B263" s="420" t="str">
        <f t="shared" ref="B263:B268" si="58">IF(B262&lt;&gt;"",B262+1,"")</f>
        <v/>
      </c>
      <c r="C263" s="218"/>
      <c r="D263" s="218"/>
      <c r="E263" s="218"/>
      <c r="F263" s="218"/>
      <c r="G263" s="219"/>
      <c r="H263" s="218"/>
      <c r="I263" s="218"/>
      <c r="J263" s="218"/>
    </row>
    <row r="264" spans="1:10" x14ac:dyDescent="0.2">
      <c r="A264" s="58">
        <f t="shared" si="57"/>
        <v>49</v>
      </c>
      <c r="B264" s="420" t="str">
        <f t="shared" si="58"/>
        <v/>
      </c>
      <c r="C264" s="218"/>
      <c r="D264" s="218"/>
      <c r="E264" s="218"/>
      <c r="F264" s="218"/>
      <c r="G264" s="219"/>
      <c r="H264" s="218"/>
      <c r="I264" s="218"/>
      <c r="J264" s="218"/>
    </row>
    <row r="265" spans="1:10" x14ac:dyDescent="0.2">
      <c r="A265" s="59">
        <f t="shared" si="57"/>
        <v>49</v>
      </c>
      <c r="B265" s="420" t="str">
        <f t="shared" si="58"/>
        <v/>
      </c>
      <c r="C265" s="220"/>
      <c r="D265" s="220"/>
      <c r="E265" s="220"/>
      <c r="F265" s="220"/>
      <c r="G265" s="221"/>
      <c r="H265" s="220"/>
      <c r="I265" s="220"/>
      <c r="J265" s="220"/>
    </row>
    <row r="266" spans="1:10" x14ac:dyDescent="0.2">
      <c r="A266" s="59">
        <f t="shared" si="57"/>
        <v>49</v>
      </c>
      <c r="B266" s="420" t="str">
        <f t="shared" si="58"/>
        <v/>
      </c>
      <c r="C266" s="220"/>
      <c r="D266" s="220"/>
      <c r="E266" s="220"/>
      <c r="F266" s="220"/>
      <c r="G266" s="221"/>
      <c r="H266" s="220"/>
      <c r="I266" s="220"/>
      <c r="J266" s="220"/>
    </row>
    <row r="267" spans="1:10" x14ac:dyDescent="0.2">
      <c r="A267" s="59">
        <f t="shared" si="57"/>
        <v>49</v>
      </c>
      <c r="B267" s="420" t="str">
        <f t="shared" si="58"/>
        <v/>
      </c>
      <c r="C267" s="220"/>
      <c r="D267" s="220"/>
      <c r="E267" s="220"/>
      <c r="F267" s="220"/>
      <c r="G267" s="221"/>
      <c r="H267" s="220"/>
      <c r="I267" s="220"/>
      <c r="J267" s="220"/>
    </row>
    <row r="268" spans="1:10" x14ac:dyDescent="0.2">
      <c r="A268" s="60">
        <f t="shared" si="57"/>
        <v>49</v>
      </c>
      <c r="B268" s="420" t="str">
        <f t="shared" si="58"/>
        <v/>
      </c>
      <c r="C268" s="222"/>
      <c r="D268" s="222"/>
      <c r="E268" s="222"/>
      <c r="F268" s="222"/>
      <c r="G268" s="223"/>
      <c r="H268" s="222"/>
      <c r="I268" s="222"/>
      <c r="J268" s="222"/>
    </row>
    <row r="269" spans="1:10" x14ac:dyDescent="0.2">
      <c r="A269" s="30">
        <v>49</v>
      </c>
      <c r="B269" s="419" t="str">
        <f>"Total "&amp;A269</f>
        <v>Total 49</v>
      </c>
      <c r="C269" s="31" t="str">
        <f>IF(AND(C262=0,C263=0,C264=0,C265=0,C266=0,C267=0,C268=0),"",SUM(C262:C268))</f>
        <v/>
      </c>
      <c r="D269" s="31" t="str">
        <f>IF(AND(D262=0,D263=0,D264=0,D265=0,D266=0,D267=0,D268=0),"",SUM(D262:D268))</f>
        <v/>
      </c>
      <c r="E269" s="31">
        <f>IF(AND(E262=0,E263=0,E264=0,E265=0,E266=0,E267=0,E268=0),0,SUM(E262:E268))</f>
        <v>0</v>
      </c>
      <c r="F269" s="31">
        <f>IF(AND(F262=0,F263=0,F264=0,F265=0,F266=0,F267=0,F268=0),0,SUM(F262:F268))</f>
        <v>0</v>
      </c>
      <c r="G269" s="32" t="str">
        <f>IF(AND(G262=0,G263=0,G264=0,G265=0,G266=0,G267=0,G268=0),"",AVERAGE(G262:G268))</f>
        <v/>
      </c>
      <c r="H269" s="31">
        <f>IF(AND(H262=0,H263=0,H264=0,H265=0,H266=0,H267=0,H268=0),0,SUM(H262:H268))</f>
        <v>0</v>
      </c>
      <c r="I269" s="31" t="str">
        <f>IF(AND(I262=0,I263=0,I264=0,I265=0,I266=0,I267=0,I268=0),"",SUM(I262:I268))</f>
        <v/>
      </c>
      <c r="J269" s="31">
        <f>IF(AND(J262=0,J263=0,J264=0,J265=0,J266=0,J267=0,J268=0),0,AVERAGE(J262:J268))</f>
        <v>0</v>
      </c>
    </row>
    <row r="270" spans="1:10" x14ac:dyDescent="0.2">
      <c r="A270" s="58">
        <f t="shared" ref="A270:A276" si="59">A262+1</f>
        <v>50</v>
      </c>
      <c r="B270" s="420" t="str">
        <f>IF(B268&lt;&gt;"",B268+1,"")</f>
        <v/>
      </c>
      <c r="C270" s="218"/>
      <c r="D270" s="218"/>
      <c r="E270" s="218"/>
      <c r="F270" s="218"/>
      <c r="G270" s="219"/>
      <c r="H270" s="218"/>
      <c r="I270" s="218"/>
      <c r="J270" s="218"/>
    </row>
    <row r="271" spans="1:10" x14ac:dyDescent="0.2">
      <c r="A271" s="58">
        <f t="shared" si="59"/>
        <v>50</v>
      </c>
      <c r="B271" s="420" t="str">
        <f t="shared" ref="B271:B276" si="60">IF(B270&lt;&gt;"",B270+1,"")</f>
        <v/>
      </c>
      <c r="C271" s="218"/>
      <c r="D271" s="218"/>
      <c r="E271" s="218"/>
      <c r="F271" s="218"/>
      <c r="G271" s="219"/>
      <c r="H271" s="218"/>
      <c r="I271" s="218"/>
      <c r="J271" s="218"/>
    </row>
    <row r="272" spans="1:10" x14ac:dyDescent="0.2">
      <c r="A272" s="58">
        <f t="shared" si="59"/>
        <v>50</v>
      </c>
      <c r="B272" s="420" t="str">
        <f t="shared" si="60"/>
        <v/>
      </c>
      <c r="C272" s="218"/>
      <c r="D272" s="218"/>
      <c r="E272" s="218"/>
      <c r="F272" s="218"/>
      <c r="G272" s="219"/>
      <c r="H272" s="218"/>
      <c r="I272" s="218"/>
      <c r="J272" s="218"/>
    </row>
    <row r="273" spans="1:10" x14ac:dyDescent="0.2">
      <c r="A273" s="59">
        <f t="shared" si="59"/>
        <v>50</v>
      </c>
      <c r="B273" s="420" t="str">
        <f t="shared" si="60"/>
        <v/>
      </c>
      <c r="C273" s="220"/>
      <c r="D273" s="220"/>
      <c r="E273" s="220"/>
      <c r="F273" s="220"/>
      <c r="G273" s="221"/>
      <c r="H273" s="220"/>
      <c r="I273" s="220"/>
      <c r="J273" s="220"/>
    </row>
    <row r="274" spans="1:10" x14ac:dyDescent="0.2">
      <c r="A274" s="59">
        <f t="shared" si="59"/>
        <v>50</v>
      </c>
      <c r="B274" s="420" t="str">
        <f t="shared" si="60"/>
        <v/>
      </c>
      <c r="C274" s="220"/>
      <c r="D274" s="220"/>
      <c r="E274" s="220"/>
      <c r="F274" s="220"/>
      <c r="G274" s="221"/>
      <c r="H274" s="220"/>
      <c r="I274" s="220"/>
      <c r="J274" s="220"/>
    </row>
    <row r="275" spans="1:10" x14ac:dyDescent="0.2">
      <c r="A275" s="59">
        <f t="shared" si="59"/>
        <v>50</v>
      </c>
      <c r="B275" s="420" t="str">
        <f t="shared" si="60"/>
        <v/>
      </c>
      <c r="C275" s="220"/>
      <c r="D275" s="220"/>
      <c r="E275" s="220"/>
      <c r="F275" s="220"/>
      <c r="G275" s="221"/>
      <c r="H275" s="220"/>
      <c r="I275" s="220"/>
      <c r="J275" s="220"/>
    </row>
    <row r="276" spans="1:10" x14ac:dyDescent="0.2">
      <c r="A276" s="60">
        <f t="shared" si="59"/>
        <v>50</v>
      </c>
      <c r="B276" s="420" t="str">
        <f t="shared" si="60"/>
        <v/>
      </c>
      <c r="C276" s="222"/>
      <c r="D276" s="222"/>
      <c r="E276" s="222"/>
      <c r="F276" s="222"/>
      <c r="G276" s="223"/>
      <c r="H276" s="222"/>
      <c r="I276" s="222"/>
      <c r="J276" s="222"/>
    </row>
    <row r="277" spans="1:10" x14ac:dyDescent="0.2">
      <c r="A277" s="30">
        <v>50</v>
      </c>
      <c r="B277" s="419" t="str">
        <f>"Total "&amp;A277</f>
        <v>Total 50</v>
      </c>
      <c r="C277" s="31" t="str">
        <f>IF(AND(C270=0,C271=0,C272=0,C273=0,C274=0,C275=0,C276=0),"",SUM(C270:C276))</f>
        <v/>
      </c>
      <c r="D277" s="31" t="str">
        <f>IF(AND(D270=0,D271=0,D272=0,D273=0,D274=0,D275=0,D276=0),"",SUM(D270:D276))</f>
        <v/>
      </c>
      <c r="E277" s="31">
        <f>IF(AND(E270=0,E271=0,E272=0,E273=0,E274=0,E275=0,E276=0),0,SUM(E270:E276))</f>
        <v>0</v>
      </c>
      <c r="F277" s="31">
        <f>IF(AND(F270=0,F271=0,F272=0,F273=0,F274=0,F275=0,F276=0),0,SUM(F270:F276))</f>
        <v>0</v>
      </c>
      <c r="G277" s="32" t="str">
        <f>IF(AND(G270=0,G271=0,G272=0,G273=0,G274=0,G275=0,G276=0),"",AVERAGE(G270:G276))</f>
        <v/>
      </c>
      <c r="H277" s="31">
        <f>IF(AND(H270=0,H271=0,H272=0,H273=0,H274=0,H275=0,H276=0),0,SUM(H270:H276))</f>
        <v>0</v>
      </c>
      <c r="I277" s="31" t="str">
        <f>IF(AND(I270=0,I271=0,I272=0,I273=0,I274=0,I275=0,I276=0),"",SUM(I270:I276))</f>
        <v/>
      </c>
      <c r="J277" s="31">
        <f>IF(AND(J270=0,J271=0,J272=0,J273=0,J274=0,J275=0,J276=0),0,AVERAGE(J270:J276))</f>
        <v>0</v>
      </c>
    </row>
    <row r="278" spans="1:10" x14ac:dyDescent="0.2">
      <c r="A278" s="58">
        <f t="shared" ref="A278:A284" si="61">A270+1</f>
        <v>51</v>
      </c>
      <c r="B278" s="420" t="str">
        <f>IF(B276&lt;&gt;"",B276+1,"")</f>
        <v/>
      </c>
      <c r="C278" s="218"/>
      <c r="D278" s="218"/>
      <c r="E278" s="218"/>
      <c r="F278" s="218"/>
      <c r="G278" s="219"/>
      <c r="H278" s="218"/>
      <c r="I278" s="218"/>
      <c r="J278" s="218"/>
    </row>
    <row r="279" spans="1:10" x14ac:dyDescent="0.2">
      <c r="A279" s="58">
        <f t="shared" si="61"/>
        <v>51</v>
      </c>
      <c r="B279" s="420" t="str">
        <f t="shared" ref="B279:B284" si="62">IF(B278&lt;&gt;"",B278+1,"")</f>
        <v/>
      </c>
      <c r="C279" s="218"/>
      <c r="D279" s="218"/>
      <c r="E279" s="218"/>
      <c r="F279" s="218"/>
      <c r="G279" s="219"/>
      <c r="H279" s="218"/>
      <c r="I279" s="218"/>
      <c r="J279" s="218"/>
    </row>
    <row r="280" spans="1:10" x14ac:dyDescent="0.2">
      <c r="A280" s="58">
        <f t="shared" si="61"/>
        <v>51</v>
      </c>
      <c r="B280" s="420" t="str">
        <f t="shared" si="62"/>
        <v/>
      </c>
      <c r="C280" s="218"/>
      <c r="D280" s="218"/>
      <c r="E280" s="218"/>
      <c r="F280" s="218"/>
      <c r="G280" s="219"/>
      <c r="H280" s="218"/>
      <c r="I280" s="218"/>
      <c r="J280" s="218"/>
    </row>
    <row r="281" spans="1:10" x14ac:dyDescent="0.2">
      <c r="A281" s="59">
        <f t="shared" si="61"/>
        <v>51</v>
      </c>
      <c r="B281" s="420" t="str">
        <f t="shared" si="62"/>
        <v/>
      </c>
      <c r="C281" s="220"/>
      <c r="D281" s="220"/>
      <c r="E281" s="220"/>
      <c r="F281" s="220"/>
      <c r="G281" s="221"/>
      <c r="H281" s="220"/>
      <c r="I281" s="220"/>
      <c r="J281" s="220"/>
    </row>
    <row r="282" spans="1:10" x14ac:dyDescent="0.2">
      <c r="A282" s="59">
        <f t="shared" si="61"/>
        <v>51</v>
      </c>
      <c r="B282" s="420" t="str">
        <f t="shared" si="62"/>
        <v/>
      </c>
      <c r="C282" s="220"/>
      <c r="D282" s="220"/>
      <c r="E282" s="220"/>
      <c r="F282" s="220"/>
      <c r="G282" s="221"/>
      <c r="H282" s="220"/>
      <c r="I282" s="220"/>
      <c r="J282" s="220"/>
    </row>
    <row r="283" spans="1:10" x14ac:dyDescent="0.2">
      <c r="A283" s="59">
        <f t="shared" si="61"/>
        <v>51</v>
      </c>
      <c r="B283" s="420" t="str">
        <f t="shared" si="62"/>
        <v/>
      </c>
      <c r="C283" s="220"/>
      <c r="D283" s="220"/>
      <c r="E283" s="220"/>
      <c r="F283" s="220"/>
      <c r="G283" s="221"/>
      <c r="H283" s="220"/>
      <c r="I283" s="220"/>
      <c r="J283" s="220"/>
    </row>
    <row r="284" spans="1:10" x14ac:dyDescent="0.2">
      <c r="A284" s="60">
        <f t="shared" si="61"/>
        <v>51</v>
      </c>
      <c r="B284" s="420" t="str">
        <f t="shared" si="62"/>
        <v/>
      </c>
      <c r="C284" s="222"/>
      <c r="D284" s="222"/>
      <c r="E284" s="222"/>
      <c r="F284" s="222"/>
      <c r="G284" s="223"/>
      <c r="H284" s="222"/>
      <c r="I284" s="222"/>
      <c r="J284" s="222"/>
    </row>
    <row r="285" spans="1:10" x14ac:dyDescent="0.2">
      <c r="A285" s="30">
        <v>51</v>
      </c>
      <c r="B285" s="419" t="str">
        <f>"Total "&amp;A285</f>
        <v>Total 51</v>
      </c>
      <c r="C285" s="31" t="str">
        <f>IF(AND(C278=0,C279=0,C280=0,C281=0,C282=0,C283=0,C284=0),"",SUM(C278:C284))</f>
        <v/>
      </c>
      <c r="D285" s="31" t="str">
        <f>IF(AND(D278=0,D279=0,D280=0,D281=0,D282=0,D283=0,D284=0),"",SUM(D278:D284))</f>
        <v/>
      </c>
      <c r="E285" s="31">
        <f>IF(AND(E278=0,E279=0,E280=0,E281=0,E282=0,E283=0,E284=0),0,SUM(E278:E284))</f>
        <v>0</v>
      </c>
      <c r="F285" s="31">
        <f>IF(AND(F278=0,F279=0,F280=0,F281=0,F282=0,F283=0,F284=0),0,SUM(F278:F284))</f>
        <v>0</v>
      </c>
      <c r="G285" s="32" t="str">
        <f>IF(AND(G278=0,G279=0,G280=0,G281=0,G282=0,G283=0,G284=0),"",AVERAGE(G278:G284))</f>
        <v/>
      </c>
      <c r="H285" s="31">
        <f>IF(AND(H278=0,H279=0,H280=0,H281=0,H282=0,H283=0,H284=0),0,SUM(H278:H284))</f>
        <v>0</v>
      </c>
      <c r="I285" s="31" t="str">
        <f>IF(AND(I278=0,I279=0,I280=0,I281=0,I282=0,I283=0,I284=0),"",SUM(I278:I284))</f>
        <v/>
      </c>
      <c r="J285" s="31">
        <f>IF(AND(J278=0,J279=0,J280=0,J281=0,J282=0,J283=0,J284=0),0,AVERAGE(J278:J284))</f>
        <v>0</v>
      </c>
    </row>
    <row r="286" spans="1:10" x14ac:dyDescent="0.2">
      <c r="A286" s="58">
        <f t="shared" ref="A286:A292" si="63">A278+1</f>
        <v>52</v>
      </c>
      <c r="B286" s="420" t="str">
        <f>IF(B284&lt;&gt;"",B284+1,"")</f>
        <v/>
      </c>
      <c r="C286" s="218"/>
      <c r="D286" s="218"/>
      <c r="E286" s="218"/>
      <c r="F286" s="218"/>
      <c r="G286" s="219"/>
      <c r="H286" s="218"/>
      <c r="I286" s="218"/>
      <c r="J286" s="218"/>
    </row>
    <row r="287" spans="1:10" x14ac:dyDescent="0.2">
      <c r="A287" s="58">
        <f t="shared" si="63"/>
        <v>52</v>
      </c>
      <c r="B287" s="420" t="str">
        <f t="shared" ref="B287:B292" si="64">IF(B286&lt;&gt;"",B286+1,"")</f>
        <v/>
      </c>
      <c r="C287" s="218"/>
      <c r="D287" s="218"/>
      <c r="E287" s="218"/>
      <c r="F287" s="218"/>
      <c r="G287" s="219"/>
      <c r="H287" s="218"/>
      <c r="I287" s="218"/>
      <c r="J287" s="218"/>
    </row>
    <row r="288" spans="1:10" x14ac:dyDescent="0.2">
      <c r="A288" s="58">
        <f t="shared" si="63"/>
        <v>52</v>
      </c>
      <c r="B288" s="420" t="str">
        <f t="shared" si="64"/>
        <v/>
      </c>
      <c r="C288" s="218"/>
      <c r="D288" s="218"/>
      <c r="E288" s="218"/>
      <c r="F288" s="218"/>
      <c r="G288" s="219"/>
      <c r="H288" s="218"/>
      <c r="I288" s="218"/>
      <c r="J288" s="218"/>
    </row>
    <row r="289" spans="1:10" x14ac:dyDescent="0.2">
      <c r="A289" s="59">
        <f t="shared" si="63"/>
        <v>52</v>
      </c>
      <c r="B289" s="420" t="str">
        <f t="shared" si="64"/>
        <v/>
      </c>
      <c r="C289" s="220"/>
      <c r="D289" s="220"/>
      <c r="E289" s="220"/>
      <c r="F289" s="220"/>
      <c r="G289" s="221"/>
      <c r="H289" s="220"/>
      <c r="I289" s="220"/>
      <c r="J289" s="220"/>
    </row>
    <row r="290" spans="1:10" x14ac:dyDescent="0.2">
      <c r="A290" s="59">
        <f t="shared" si="63"/>
        <v>52</v>
      </c>
      <c r="B290" s="420" t="str">
        <f t="shared" si="64"/>
        <v/>
      </c>
      <c r="C290" s="220"/>
      <c r="D290" s="220"/>
      <c r="E290" s="220"/>
      <c r="F290" s="220"/>
      <c r="G290" s="221"/>
      <c r="H290" s="220"/>
      <c r="I290" s="220"/>
      <c r="J290" s="220"/>
    </row>
    <row r="291" spans="1:10" x14ac:dyDescent="0.2">
      <c r="A291" s="59">
        <f t="shared" si="63"/>
        <v>52</v>
      </c>
      <c r="B291" s="420" t="str">
        <f t="shared" si="64"/>
        <v/>
      </c>
      <c r="C291" s="220"/>
      <c r="D291" s="220"/>
      <c r="E291" s="220"/>
      <c r="F291" s="220"/>
      <c r="G291" s="221"/>
      <c r="H291" s="220"/>
      <c r="I291" s="220"/>
      <c r="J291" s="220"/>
    </row>
    <row r="292" spans="1:10" x14ac:dyDescent="0.2">
      <c r="A292" s="60">
        <f t="shared" si="63"/>
        <v>52</v>
      </c>
      <c r="B292" s="420" t="str">
        <f t="shared" si="64"/>
        <v/>
      </c>
      <c r="C292" s="222"/>
      <c r="D292" s="222"/>
      <c r="E292" s="222"/>
      <c r="F292" s="222"/>
      <c r="G292" s="223"/>
      <c r="H292" s="222"/>
      <c r="I292" s="222"/>
      <c r="J292" s="222"/>
    </row>
    <row r="293" spans="1:10" x14ac:dyDescent="0.2">
      <c r="A293" s="30">
        <v>52</v>
      </c>
      <c r="B293" s="419" t="str">
        <f>"Total "&amp;A293</f>
        <v>Total 52</v>
      </c>
      <c r="C293" s="31" t="str">
        <f>IF(AND(C286=0,C287=0,C288=0,C289=0,C290=0,C291=0,C292=0),"",SUM(C286:C292))</f>
        <v/>
      </c>
      <c r="D293" s="31" t="str">
        <f>IF(AND(D286=0,D287=0,D288=0,D289=0,D290=0,D291=0,D292=0),"",SUM(D286:D292))</f>
        <v/>
      </c>
      <c r="E293" s="31">
        <f>IF(AND(E286=0,E287=0,E288=0,E289=0,E290=0,E291=0,E292=0),0,SUM(E286:E292))</f>
        <v>0</v>
      </c>
      <c r="F293" s="31">
        <f>IF(AND(F286=0,F287=0,F288=0,F289=0,F290=0,F291=0,F292=0),0,SUM(F286:F292))</f>
        <v>0</v>
      </c>
      <c r="G293" s="32" t="str">
        <f>IF(AND(G286=0,G287=0,G288=0,G289=0,G290=0,G291=0,G292=0),"",AVERAGE(G286:G292))</f>
        <v/>
      </c>
      <c r="H293" s="31">
        <f>IF(AND(H286=0,H287=0,H288=0,H289=0,H290=0,H291=0,H292=0),0,SUM(H286:H292))</f>
        <v>0</v>
      </c>
      <c r="I293" s="31" t="str">
        <f>IF(AND(I286=0,I287=0,I288=0,I289=0,I290=0,I291=0,I292=0),"",SUM(I286:I292))</f>
        <v/>
      </c>
      <c r="J293" s="31">
        <f>IF(AND(J286=0,J287=0,J288=0,J289=0,J290=0,J291=0,J292=0),0,AVERAGE(J286:J292))</f>
        <v>0</v>
      </c>
    </row>
    <row r="294" spans="1:10" x14ac:dyDescent="0.2">
      <c r="A294" s="58">
        <f t="shared" ref="A294:A300" si="65">A286+1</f>
        <v>53</v>
      </c>
      <c r="B294" s="420" t="str">
        <f>IF(B292&lt;&gt;"",B292+1,"")</f>
        <v/>
      </c>
      <c r="C294" s="218"/>
      <c r="D294" s="218"/>
      <c r="E294" s="218"/>
      <c r="F294" s="218"/>
      <c r="G294" s="219"/>
      <c r="H294" s="218"/>
      <c r="I294" s="218"/>
      <c r="J294" s="218"/>
    </row>
    <row r="295" spans="1:10" x14ac:dyDescent="0.2">
      <c r="A295" s="58">
        <f t="shared" si="65"/>
        <v>53</v>
      </c>
      <c r="B295" s="420" t="str">
        <f t="shared" ref="B295:B300" si="66">IF(B294&lt;&gt;"",B294+1,"")</f>
        <v/>
      </c>
      <c r="C295" s="218"/>
      <c r="D295" s="218"/>
      <c r="E295" s="218"/>
      <c r="F295" s="218"/>
      <c r="G295" s="219"/>
      <c r="H295" s="218"/>
      <c r="I295" s="218"/>
      <c r="J295" s="218"/>
    </row>
    <row r="296" spans="1:10" x14ac:dyDescent="0.2">
      <c r="A296" s="58">
        <f t="shared" si="65"/>
        <v>53</v>
      </c>
      <c r="B296" s="420" t="str">
        <f t="shared" si="66"/>
        <v/>
      </c>
      <c r="C296" s="218"/>
      <c r="D296" s="218"/>
      <c r="E296" s="218"/>
      <c r="F296" s="218"/>
      <c r="G296" s="219"/>
      <c r="H296" s="218"/>
      <c r="I296" s="218"/>
      <c r="J296" s="218"/>
    </row>
    <row r="297" spans="1:10" x14ac:dyDescent="0.2">
      <c r="A297" s="59">
        <f t="shared" si="65"/>
        <v>53</v>
      </c>
      <c r="B297" s="420" t="str">
        <f t="shared" si="66"/>
        <v/>
      </c>
      <c r="C297" s="220"/>
      <c r="D297" s="220"/>
      <c r="E297" s="220"/>
      <c r="F297" s="220"/>
      <c r="G297" s="221"/>
      <c r="H297" s="220"/>
      <c r="I297" s="220"/>
      <c r="J297" s="220"/>
    </row>
    <row r="298" spans="1:10" x14ac:dyDescent="0.2">
      <c r="A298" s="59">
        <f t="shared" si="65"/>
        <v>53</v>
      </c>
      <c r="B298" s="420" t="str">
        <f t="shared" si="66"/>
        <v/>
      </c>
      <c r="C298" s="220"/>
      <c r="D298" s="220"/>
      <c r="E298" s="220"/>
      <c r="F298" s="220"/>
      <c r="G298" s="221"/>
      <c r="H298" s="220"/>
      <c r="I298" s="220"/>
      <c r="J298" s="220"/>
    </row>
    <row r="299" spans="1:10" x14ac:dyDescent="0.2">
      <c r="A299" s="59">
        <f t="shared" si="65"/>
        <v>53</v>
      </c>
      <c r="B299" s="420" t="str">
        <f t="shared" si="66"/>
        <v/>
      </c>
      <c r="C299" s="220"/>
      <c r="D299" s="220"/>
      <c r="E299" s="220"/>
      <c r="F299" s="220"/>
      <c r="G299" s="221"/>
      <c r="H299" s="220"/>
      <c r="I299" s="220"/>
      <c r="J299" s="220"/>
    </row>
    <row r="300" spans="1:10" x14ac:dyDescent="0.2">
      <c r="A300" s="60">
        <f t="shared" si="65"/>
        <v>53</v>
      </c>
      <c r="B300" s="420" t="str">
        <f t="shared" si="66"/>
        <v/>
      </c>
      <c r="C300" s="222"/>
      <c r="D300" s="222"/>
      <c r="E300" s="222"/>
      <c r="F300" s="222"/>
      <c r="G300" s="223"/>
      <c r="H300" s="222"/>
      <c r="I300" s="222"/>
      <c r="J300" s="222"/>
    </row>
    <row r="301" spans="1:10" x14ac:dyDescent="0.2">
      <c r="A301" s="30">
        <v>53</v>
      </c>
      <c r="B301" s="419" t="str">
        <f>"Total "&amp;A301</f>
        <v>Total 53</v>
      </c>
      <c r="C301" s="31" t="str">
        <f>IF(AND(C294=0,C295=0,C296=0,C297=0,C298=0,C299=0,C300=0),"",SUM(C294:C300))</f>
        <v/>
      </c>
      <c r="D301" s="31" t="str">
        <f>IF(AND(D294=0,D295=0,D296=0,D297=0,D298=0,D299=0,D300=0),"",SUM(D294:D300))</f>
        <v/>
      </c>
      <c r="E301" s="31">
        <f>IF(AND(E294=0,E295=0,E296=0,E297=0,E298=0,E299=0,E300=0),0,SUM(E294:E300))</f>
        <v>0</v>
      </c>
      <c r="F301" s="31">
        <f>IF(AND(F294=0,F295=0,F296=0,F297=0,F298=0,F299=0,F300=0),0,SUM(F294:F300))</f>
        <v>0</v>
      </c>
      <c r="G301" s="32" t="str">
        <f>IF(AND(G294=0,G295=0,G296=0,G297=0,G298=0,G299=0,G300=0),"",AVERAGE(G294:G300))</f>
        <v/>
      </c>
      <c r="H301" s="31">
        <f>IF(AND(H294=0,H295=0,H296=0,H297=0,H298=0,H299=0,H300=0),0,SUM(H294:H300))</f>
        <v>0</v>
      </c>
      <c r="I301" s="31" t="str">
        <f>IF(AND(I294=0,I295=0,I296=0,I297=0,I298=0,I299=0,I300=0),"",SUM(I294:I300))</f>
        <v/>
      </c>
      <c r="J301" s="31">
        <f>IF(AND(J294=0,J295=0,J296=0,J297=0,J298=0,J299=0,J300=0),0,AVERAGE(J294:J300))</f>
        <v>0</v>
      </c>
    </row>
    <row r="302" spans="1:10" x14ac:dyDescent="0.2">
      <c r="A302" s="58">
        <f t="shared" ref="A302:A308" si="67">A294+1</f>
        <v>54</v>
      </c>
      <c r="B302" s="420" t="str">
        <f>IF(B300&lt;&gt;"",B300+1,"")</f>
        <v/>
      </c>
      <c r="C302" s="218"/>
      <c r="D302" s="218"/>
      <c r="E302" s="218"/>
      <c r="F302" s="218"/>
      <c r="G302" s="219"/>
      <c r="H302" s="218"/>
      <c r="I302" s="218"/>
      <c r="J302" s="218"/>
    </row>
    <row r="303" spans="1:10" x14ac:dyDescent="0.2">
      <c r="A303" s="58">
        <f t="shared" si="67"/>
        <v>54</v>
      </c>
      <c r="B303" s="420" t="str">
        <f t="shared" ref="B303:B308" si="68">IF(B302&lt;&gt;"",B302+1,"")</f>
        <v/>
      </c>
      <c r="C303" s="218"/>
      <c r="D303" s="218"/>
      <c r="E303" s="218"/>
      <c r="F303" s="218"/>
      <c r="G303" s="219"/>
      <c r="H303" s="218"/>
      <c r="I303" s="218"/>
      <c r="J303" s="218"/>
    </row>
    <row r="304" spans="1:10" x14ac:dyDescent="0.2">
      <c r="A304" s="58">
        <f t="shared" si="67"/>
        <v>54</v>
      </c>
      <c r="B304" s="420" t="str">
        <f t="shared" si="68"/>
        <v/>
      </c>
      <c r="C304" s="218"/>
      <c r="D304" s="218"/>
      <c r="E304" s="218"/>
      <c r="F304" s="218"/>
      <c r="G304" s="219"/>
      <c r="H304" s="218"/>
      <c r="I304" s="218"/>
      <c r="J304" s="218"/>
    </row>
    <row r="305" spans="1:10" x14ac:dyDescent="0.2">
      <c r="A305" s="59">
        <f t="shared" si="67"/>
        <v>54</v>
      </c>
      <c r="B305" s="420" t="str">
        <f t="shared" si="68"/>
        <v/>
      </c>
      <c r="C305" s="220"/>
      <c r="D305" s="220"/>
      <c r="E305" s="220"/>
      <c r="F305" s="220"/>
      <c r="G305" s="221"/>
      <c r="H305" s="220"/>
      <c r="I305" s="220"/>
      <c r="J305" s="220"/>
    </row>
    <row r="306" spans="1:10" x14ac:dyDescent="0.2">
      <c r="A306" s="59">
        <f t="shared" si="67"/>
        <v>54</v>
      </c>
      <c r="B306" s="420" t="str">
        <f t="shared" si="68"/>
        <v/>
      </c>
      <c r="C306" s="220"/>
      <c r="D306" s="220"/>
      <c r="E306" s="220"/>
      <c r="F306" s="220"/>
      <c r="G306" s="221"/>
      <c r="H306" s="220"/>
      <c r="I306" s="220"/>
      <c r="J306" s="220"/>
    </row>
    <row r="307" spans="1:10" x14ac:dyDescent="0.2">
      <c r="A307" s="59">
        <f t="shared" si="67"/>
        <v>54</v>
      </c>
      <c r="B307" s="420" t="str">
        <f t="shared" si="68"/>
        <v/>
      </c>
      <c r="C307" s="220"/>
      <c r="D307" s="220"/>
      <c r="E307" s="220"/>
      <c r="F307" s="220"/>
      <c r="G307" s="221"/>
      <c r="H307" s="220"/>
      <c r="I307" s="220"/>
      <c r="J307" s="220"/>
    </row>
    <row r="308" spans="1:10" x14ac:dyDescent="0.2">
      <c r="A308" s="60">
        <f t="shared" si="67"/>
        <v>54</v>
      </c>
      <c r="B308" s="420" t="str">
        <f t="shared" si="68"/>
        <v/>
      </c>
      <c r="C308" s="222"/>
      <c r="D308" s="222"/>
      <c r="E308" s="222"/>
      <c r="F308" s="222"/>
      <c r="G308" s="223"/>
      <c r="H308" s="222"/>
      <c r="I308" s="222"/>
      <c r="J308" s="222"/>
    </row>
    <row r="309" spans="1:10" x14ac:dyDescent="0.2">
      <c r="A309" s="30">
        <v>54</v>
      </c>
      <c r="B309" s="419" t="str">
        <f>"Total "&amp;A309</f>
        <v>Total 54</v>
      </c>
      <c r="C309" s="31" t="str">
        <f>IF(AND(C302=0,C303=0,C304=0,C305=0,C306=0,C307=0,C308=0),"",SUM(C302:C308))</f>
        <v/>
      </c>
      <c r="D309" s="31" t="str">
        <f>IF(AND(D302=0,D303=0,D304=0,D305=0,D306=0,D307=0,D308=0),"",SUM(D302:D308))</f>
        <v/>
      </c>
      <c r="E309" s="31">
        <f>IF(AND(E302=0,E303=0,E304=0,E305=0,E306=0,E307=0,E308=0),0,SUM(E302:E308))</f>
        <v>0</v>
      </c>
      <c r="F309" s="31">
        <f>IF(AND(F302=0,F303=0,F304=0,F305=0,F306=0,F307=0,F308=0),0,SUM(F302:F308))</f>
        <v>0</v>
      </c>
      <c r="G309" s="32" t="str">
        <f>IF(AND(G302=0,G303=0,G304=0,G305=0,G306=0,G307=0,G308=0),"",AVERAGE(G302:G308))</f>
        <v/>
      </c>
      <c r="H309" s="31">
        <f>IF(AND(H302=0,H303=0,H304=0,H305=0,H306=0,H307=0,H308=0),0,SUM(H302:H308))</f>
        <v>0</v>
      </c>
      <c r="I309" s="31" t="str">
        <f>IF(AND(I302=0,I303=0,I304=0,I305=0,I306=0,I307=0,I308=0),"",SUM(I302:I308))</f>
        <v/>
      </c>
      <c r="J309" s="31">
        <f>IF(AND(J302=0,J303=0,J304=0,J305=0,J306=0,J307=0,J308=0),0,AVERAGE(J302:J308))</f>
        <v>0</v>
      </c>
    </row>
    <row r="310" spans="1:10" x14ac:dyDescent="0.2">
      <c r="A310" s="58">
        <f t="shared" ref="A310:A316" si="69">A302+1</f>
        <v>55</v>
      </c>
      <c r="B310" s="420" t="str">
        <f>IF(B308&lt;&gt;"",B308+1,"")</f>
        <v/>
      </c>
      <c r="C310" s="218"/>
      <c r="D310" s="218"/>
      <c r="E310" s="218"/>
      <c r="F310" s="218"/>
      <c r="G310" s="219"/>
      <c r="H310" s="218"/>
      <c r="I310" s="218"/>
      <c r="J310" s="218"/>
    </row>
    <row r="311" spans="1:10" x14ac:dyDescent="0.2">
      <c r="A311" s="58">
        <f t="shared" si="69"/>
        <v>55</v>
      </c>
      <c r="B311" s="420" t="str">
        <f t="shared" ref="B311:B316" si="70">IF(B310&lt;&gt;"",B310+1,"")</f>
        <v/>
      </c>
      <c r="C311" s="218"/>
      <c r="D311" s="218"/>
      <c r="E311" s="218"/>
      <c r="F311" s="218"/>
      <c r="G311" s="219"/>
      <c r="H311" s="218"/>
      <c r="I311" s="218"/>
      <c r="J311" s="218"/>
    </row>
    <row r="312" spans="1:10" x14ac:dyDescent="0.2">
      <c r="A312" s="58">
        <f t="shared" si="69"/>
        <v>55</v>
      </c>
      <c r="B312" s="420" t="str">
        <f t="shared" si="70"/>
        <v/>
      </c>
      <c r="C312" s="218"/>
      <c r="D312" s="218"/>
      <c r="E312" s="218"/>
      <c r="F312" s="218"/>
      <c r="G312" s="219"/>
      <c r="H312" s="218"/>
      <c r="I312" s="218"/>
      <c r="J312" s="218"/>
    </row>
    <row r="313" spans="1:10" x14ac:dyDescent="0.2">
      <c r="A313" s="59">
        <f t="shared" si="69"/>
        <v>55</v>
      </c>
      <c r="B313" s="420" t="str">
        <f t="shared" si="70"/>
        <v/>
      </c>
      <c r="C313" s="220"/>
      <c r="D313" s="220"/>
      <c r="E313" s="220"/>
      <c r="F313" s="220"/>
      <c r="G313" s="221"/>
      <c r="H313" s="220"/>
      <c r="I313" s="220"/>
      <c r="J313" s="220"/>
    </row>
    <row r="314" spans="1:10" x14ac:dyDescent="0.2">
      <c r="A314" s="59">
        <f t="shared" si="69"/>
        <v>55</v>
      </c>
      <c r="B314" s="420" t="str">
        <f t="shared" si="70"/>
        <v/>
      </c>
      <c r="C314" s="220"/>
      <c r="D314" s="220"/>
      <c r="E314" s="220"/>
      <c r="F314" s="220"/>
      <c r="G314" s="221"/>
      <c r="H314" s="220"/>
      <c r="I314" s="220"/>
      <c r="J314" s="220"/>
    </row>
    <row r="315" spans="1:10" x14ac:dyDescent="0.2">
      <c r="A315" s="59">
        <f t="shared" si="69"/>
        <v>55</v>
      </c>
      <c r="B315" s="420" t="str">
        <f t="shared" si="70"/>
        <v/>
      </c>
      <c r="C315" s="220"/>
      <c r="D315" s="220"/>
      <c r="E315" s="220"/>
      <c r="F315" s="220"/>
      <c r="G315" s="221"/>
      <c r="H315" s="220"/>
      <c r="I315" s="220"/>
      <c r="J315" s="220"/>
    </row>
    <row r="316" spans="1:10" x14ac:dyDescent="0.2">
      <c r="A316" s="60">
        <f t="shared" si="69"/>
        <v>55</v>
      </c>
      <c r="B316" s="420" t="str">
        <f t="shared" si="70"/>
        <v/>
      </c>
      <c r="C316" s="222"/>
      <c r="D316" s="222"/>
      <c r="E316" s="222"/>
      <c r="F316" s="222"/>
      <c r="G316" s="223"/>
      <c r="H316" s="222"/>
      <c r="I316" s="222"/>
      <c r="J316" s="222"/>
    </row>
    <row r="317" spans="1:10" x14ac:dyDescent="0.2">
      <c r="A317" s="30">
        <v>55</v>
      </c>
      <c r="B317" s="419" t="str">
        <f>"Total "&amp;A317</f>
        <v>Total 55</v>
      </c>
      <c r="C317" s="31" t="str">
        <f>IF(AND(C310=0,C311=0,C312=0,C313=0,C314=0,C315=0,C316=0),"",SUM(C310:C316))</f>
        <v/>
      </c>
      <c r="D317" s="31" t="str">
        <f>IF(AND(D310=0,D311=0,D312=0,D313=0,D314=0,D315=0,D316=0),"",SUM(D310:D316))</f>
        <v/>
      </c>
      <c r="E317" s="31">
        <f>IF(AND(E310=0,E311=0,E312=0,E313=0,E314=0,E315=0,E316=0),0,SUM(E310:E316))</f>
        <v>0</v>
      </c>
      <c r="F317" s="31">
        <f>IF(AND(F310=0,F311=0,F312=0,F313=0,F314=0,F315=0,F316=0),0,SUM(F310:F316))</f>
        <v>0</v>
      </c>
      <c r="G317" s="32" t="str">
        <f>IF(AND(G310=0,G311=0,G312=0,G313=0,G314=0,G315=0,G316=0),"",AVERAGE(G310:G316))</f>
        <v/>
      </c>
      <c r="H317" s="31">
        <f>IF(AND(H310=0,H311=0,H312=0,H313=0,H314=0,H315=0,H316=0),0,SUM(H310:H316))</f>
        <v>0</v>
      </c>
      <c r="I317" s="31" t="str">
        <f>IF(AND(I310=0,I311=0,I312=0,I313=0,I314=0,I315=0,I316=0),"",SUM(I310:I316))</f>
        <v/>
      </c>
      <c r="J317" s="31">
        <f>IF(AND(J310=0,J311=0,J312=0,J313=0,J314=0,J315=0,J316=0),0,AVERAGE(J310:J316))</f>
        <v>0</v>
      </c>
    </row>
    <row r="318" spans="1:10" x14ac:dyDescent="0.2">
      <c r="A318" s="58">
        <f t="shared" ref="A318:A324" si="71">A310+1</f>
        <v>56</v>
      </c>
      <c r="B318" s="420" t="str">
        <f>IF(B316&lt;&gt;"",B316+1,"")</f>
        <v/>
      </c>
      <c r="C318" s="218"/>
      <c r="D318" s="218"/>
      <c r="E318" s="218"/>
      <c r="F318" s="218"/>
      <c r="G318" s="219"/>
      <c r="H318" s="218"/>
      <c r="I318" s="218"/>
      <c r="J318" s="218"/>
    </row>
    <row r="319" spans="1:10" x14ac:dyDescent="0.2">
      <c r="A319" s="58">
        <f t="shared" si="71"/>
        <v>56</v>
      </c>
      <c r="B319" s="420" t="str">
        <f t="shared" ref="B319:B324" si="72">IF(B318&lt;&gt;"",B318+1,"")</f>
        <v/>
      </c>
      <c r="C319" s="218"/>
      <c r="D319" s="218"/>
      <c r="E319" s="218"/>
      <c r="F319" s="218"/>
      <c r="G319" s="219"/>
      <c r="H319" s="218"/>
      <c r="I319" s="218"/>
      <c r="J319" s="218"/>
    </row>
    <row r="320" spans="1:10" x14ac:dyDescent="0.2">
      <c r="A320" s="58">
        <f t="shared" si="71"/>
        <v>56</v>
      </c>
      <c r="B320" s="420" t="str">
        <f t="shared" si="72"/>
        <v/>
      </c>
      <c r="C320" s="218"/>
      <c r="D320" s="218"/>
      <c r="E320" s="218"/>
      <c r="F320" s="218"/>
      <c r="G320" s="219"/>
      <c r="H320" s="218"/>
      <c r="I320" s="218"/>
      <c r="J320" s="218"/>
    </row>
    <row r="321" spans="1:10" x14ac:dyDescent="0.2">
      <c r="A321" s="59">
        <f t="shared" si="71"/>
        <v>56</v>
      </c>
      <c r="B321" s="420" t="str">
        <f t="shared" si="72"/>
        <v/>
      </c>
      <c r="C321" s="220"/>
      <c r="D321" s="220"/>
      <c r="E321" s="220"/>
      <c r="F321" s="220"/>
      <c r="G321" s="221"/>
      <c r="H321" s="220"/>
      <c r="I321" s="220"/>
      <c r="J321" s="220"/>
    </row>
    <row r="322" spans="1:10" x14ac:dyDescent="0.2">
      <c r="A322" s="59">
        <f t="shared" si="71"/>
        <v>56</v>
      </c>
      <c r="B322" s="420" t="str">
        <f t="shared" si="72"/>
        <v/>
      </c>
      <c r="C322" s="220"/>
      <c r="D322" s="220"/>
      <c r="E322" s="220"/>
      <c r="F322" s="220"/>
      <c r="G322" s="221"/>
      <c r="H322" s="220"/>
      <c r="I322" s="220"/>
      <c r="J322" s="220"/>
    </row>
    <row r="323" spans="1:10" x14ac:dyDescent="0.2">
      <c r="A323" s="59">
        <f t="shared" si="71"/>
        <v>56</v>
      </c>
      <c r="B323" s="420" t="str">
        <f t="shared" si="72"/>
        <v/>
      </c>
      <c r="C323" s="220"/>
      <c r="D323" s="220"/>
      <c r="E323" s="220"/>
      <c r="F323" s="220"/>
      <c r="G323" s="221"/>
      <c r="H323" s="220"/>
      <c r="I323" s="220"/>
      <c r="J323" s="220"/>
    </row>
    <row r="324" spans="1:10" x14ac:dyDescent="0.2">
      <c r="A324" s="60">
        <f t="shared" si="71"/>
        <v>56</v>
      </c>
      <c r="B324" s="420" t="str">
        <f t="shared" si="72"/>
        <v/>
      </c>
      <c r="C324" s="222"/>
      <c r="D324" s="222"/>
      <c r="E324" s="222"/>
      <c r="F324" s="222"/>
      <c r="G324" s="223"/>
      <c r="H324" s="222"/>
      <c r="I324" s="222"/>
      <c r="J324" s="222"/>
    </row>
    <row r="325" spans="1:10" x14ac:dyDescent="0.2">
      <c r="A325" s="30">
        <v>56</v>
      </c>
      <c r="B325" s="419" t="str">
        <f>"Total "&amp;A325</f>
        <v>Total 56</v>
      </c>
      <c r="C325" s="31" t="str">
        <f>IF(AND(C318=0,C319=0,C320=0,C321=0,C322=0,C323=0,C324=0),"",SUM(C318:C324))</f>
        <v/>
      </c>
      <c r="D325" s="31" t="str">
        <f>IF(AND(D318=0,D319=0,D320=0,D321=0,D322=0,D323=0,D324=0),"",SUM(D318:D324))</f>
        <v/>
      </c>
      <c r="E325" s="31">
        <f>IF(AND(E318=0,E319=0,E320=0,E321=0,E322=0,E323=0,E324=0),0,SUM(E318:E324))</f>
        <v>0</v>
      </c>
      <c r="F325" s="31">
        <f>IF(AND(F318=0,F319=0,F320=0,F321=0,F322=0,F323=0,F324=0),0,SUM(F318:F324))</f>
        <v>0</v>
      </c>
      <c r="G325" s="32" t="str">
        <f>IF(AND(G318=0,G319=0,G320=0,G321=0,G322=0,G323=0,G324=0),"",AVERAGE(G318:G324))</f>
        <v/>
      </c>
      <c r="H325" s="31">
        <f>IF(AND(H318=0,H319=0,H320=0,H321=0,H322=0,H323=0,H324=0),0,SUM(H318:H324))</f>
        <v>0</v>
      </c>
      <c r="I325" s="31" t="str">
        <f>IF(AND(I318=0,I319=0,I320=0,I321=0,I322=0,I323=0,I324=0),"",SUM(I318:I324))</f>
        <v/>
      </c>
      <c r="J325" s="31">
        <f>IF(AND(J318=0,J319=0,J320=0,J321=0,J322=0,J323=0,J324=0),0,AVERAGE(J318:J324))</f>
        <v>0</v>
      </c>
    </row>
    <row r="326" spans="1:10" x14ac:dyDescent="0.2">
      <c r="A326" s="58">
        <f t="shared" ref="A326:A332" si="73">A318+1</f>
        <v>57</v>
      </c>
      <c r="B326" s="420" t="str">
        <f>IF(B324&lt;&gt;"",B324+1,"")</f>
        <v/>
      </c>
      <c r="C326" s="218"/>
      <c r="D326" s="218"/>
      <c r="E326" s="218"/>
      <c r="F326" s="218"/>
      <c r="G326" s="219"/>
      <c r="H326" s="218"/>
      <c r="I326" s="218"/>
      <c r="J326" s="218"/>
    </row>
    <row r="327" spans="1:10" x14ac:dyDescent="0.2">
      <c r="A327" s="58">
        <f t="shared" si="73"/>
        <v>57</v>
      </c>
      <c r="B327" s="420" t="str">
        <f t="shared" ref="B327:B332" si="74">IF(B326&lt;&gt;"",B326+1,"")</f>
        <v/>
      </c>
      <c r="C327" s="218"/>
      <c r="D327" s="218"/>
      <c r="E327" s="218"/>
      <c r="F327" s="218"/>
      <c r="G327" s="219"/>
      <c r="H327" s="218"/>
      <c r="I327" s="218"/>
      <c r="J327" s="218"/>
    </row>
    <row r="328" spans="1:10" x14ac:dyDescent="0.2">
      <c r="A328" s="58">
        <f t="shared" si="73"/>
        <v>57</v>
      </c>
      <c r="B328" s="420" t="str">
        <f t="shared" si="74"/>
        <v/>
      </c>
      <c r="C328" s="218"/>
      <c r="D328" s="218"/>
      <c r="E328" s="218"/>
      <c r="F328" s="218"/>
      <c r="G328" s="219"/>
      <c r="H328" s="218"/>
      <c r="I328" s="218"/>
      <c r="J328" s="218"/>
    </row>
    <row r="329" spans="1:10" x14ac:dyDescent="0.2">
      <c r="A329" s="59">
        <f t="shared" si="73"/>
        <v>57</v>
      </c>
      <c r="B329" s="420" t="str">
        <f t="shared" si="74"/>
        <v/>
      </c>
      <c r="C329" s="220"/>
      <c r="D329" s="220"/>
      <c r="E329" s="220"/>
      <c r="F329" s="220"/>
      <c r="G329" s="221"/>
      <c r="H329" s="220"/>
      <c r="I329" s="220"/>
      <c r="J329" s="220"/>
    </row>
    <row r="330" spans="1:10" x14ac:dyDescent="0.2">
      <c r="A330" s="59">
        <f t="shared" si="73"/>
        <v>57</v>
      </c>
      <c r="B330" s="420" t="str">
        <f t="shared" si="74"/>
        <v/>
      </c>
      <c r="C330" s="220"/>
      <c r="D330" s="220"/>
      <c r="E330" s="220"/>
      <c r="F330" s="220"/>
      <c r="G330" s="221"/>
      <c r="H330" s="220"/>
      <c r="I330" s="220"/>
      <c r="J330" s="220"/>
    </row>
    <row r="331" spans="1:10" x14ac:dyDescent="0.2">
      <c r="A331" s="59">
        <f t="shared" si="73"/>
        <v>57</v>
      </c>
      <c r="B331" s="420" t="str">
        <f t="shared" si="74"/>
        <v/>
      </c>
      <c r="C331" s="220"/>
      <c r="D331" s="220"/>
      <c r="E331" s="220"/>
      <c r="F331" s="220"/>
      <c r="G331" s="221"/>
      <c r="H331" s="220"/>
      <c r="I331" s="220"/>
      <c r="J331" s="220"/>
    </row>
    <row r="332" spans="1:10" x14ac:dyDescent="0.2">
      <c r="A332" s="60">
        <f t="shared" si="73"/>
        <v>57</v>
      </c>
      <c r="B332" s="420" t="str">
        <f t="shared" si="74"/>
        <v/>
      </c>
      <c r="C332" s="222"/>
      <c r="D332" s="222"/>
      <c r="E332" s="222"/>
      <c r="F332" s="222"/>
      <c r="G332" s="223"/>
      <c r="H332" s="222"/>
      <c r="I332" s="222"/>
      <c r="J332" s="222"/>
    </row>
    <row r="333" spans="1:10" x14ac:dyDescent="0.2">
      <c r="A333" s="30">
        <v>57</v>
      </c>
      <c r="B333" s="419" t="str">
        <f>"Total "&amp;A333</f>
        <v>Total 57</v>
      </c>
      <c r="C333" s="31" t="str">
        <f>IF(AND(C326=0,C327=0,C328=0,C329=0,C330=0,C331=0,C332=0),"",SUM(C326:C332))</f>
        <v/>
      </c>
      <c r="D333" s="31" t="str">
        <f>IF(AND(D326=0,D327=0,D328=0,D329=0,D330=0,D331=0,D332=0),"",SUM(D326:D332))</f>
        <v/>
      </c>
      <c r="E333" s="31">
        <f>IF(AND(E326=0,E327=0,E328=0,E329=0,E330=0,E331=0,E332=0),0,SUM(E326:E332))</f>
        <v>0</v>
      </c>
      <c r="F333" s="31">
        <f>IF(AND(F326=0,F327=0,F328=0,F329=0,F330=0,F331=0,F332=0),0,SUM(F326:F332))</f>
        <v>0</v>
      </c>
      <c r="G333" s="32" t="str">
        <f>IF(AND(G326=0,G327=0,G328=0,G329=0,G330=0,G331=0,G332=0),"",AVERAGE(G326:G332))</f>
        <v/>
      </c>
      <c r="H333" s="31">
        <f>IF(AND(H326=0,H327=0,H328=0,H329=0,H330=0,H331=0,H332=0),0,SUM(H326:H332))</f>
        <v>0</v>
      </c>
      <c r="I333" s="31" t="str">
        <f>IF(AND(I326=0,I327=0,I328=0,I329=0,I330=0,I331=0,I332=0),"",SUM(I326:I332))</f>
        <v/>
      </c>
      <c r="J333" s="31">
        <f>IF(AND(J326=0,J327=0,J328=0,J329=0,J330=0,J331=0,J332=0),0,AVERAGE(J326:J332))</f>
        <v>0</v>
      </c>
    </row>
    <row r="334" spans="1:10" x14ac:dyDescent="0.2">
      <c r="A334" s="58">
        <f t="shared" ref="A334:A340" si="75">A326+1</f>
        <v>58</v>
      </c>
      <c r="B334" s="420" t="str">
        <f>IF(B332&lt;&gt;"",B332+1,"")</f>
        <v/>
      </c>
      <c r="C334" s="218"/>
      <c r="D334" s="218"/>
      <c r="E334" s="218"/>
      <c r="F334" s="218"/>
      <c r="G334" s="219"/>
      <c r="H334" s="218"/>
      <c r="I334" s="218"/>
      <c r="J334" s="218"/>
    </row>
    <row r="335" spans="1:10" x14ac:dyDescent="0.2">
      <c r="A335" s="58">
        <f t="shared" si="75"/>
        <v>58</v>
      </c>
      <c r="B335" s="420" t="str">
        <f t="shared" ref="B335:B340" si="76">IF(B334&lt;&gt;"",B334+1,"")</f>
        <v/>
      </c>
      <c r="C335" s="218"/>
      <c r="D335" s="218"/>
      <c r="E335" s="218"/>
      <c r="F335" s="218"/>
      <c r="G335" s="219"/>
      <c r="H335" s="218"/>
      <c r="I335" s="218"/>
      <c r="J335" s="218"/>
    </row>
    <row r="336" spans="1:10" x14ac:dyDescent="0.2">
      <c r="A336" s="58">
        <f t="shared" si="75"/>
        <v>58</v>
      </c>
      <c r="B336" s="420" t="str">
        <f t="shared" si="76"/>
        <v/>
      </c>
      <c r="C336" s="218"/>
      <c r="D336" s="218"/>
      <c r="E336" s="218"/>
      <c r="F336" s="218"/>
      <c r="G336" s="219"/>
      <c r="H336" s="218"/>
      <c r="I336" s="218"/>
      <c r="J336" s="218"/>
    </row>
    <row r="337" spans="1:10" x14ac:dyDescent="0.2">
      <c r="A337" s="59">
        <f t="shared" si="75"/>
        <v>58</v>
      </c>
      <c r="B337" s="420" t="str">
        <f t="shared" si="76"/>
        <v/>
      </c>
      <c r="C337" s="220"/>
      <c r="D337" s="220"/>
      <c r="E337" s="220"/>
      <c r="F337" s="220"/>
      <c r="G337" s="221"/>
      <c r="H337" s="220"/>
      <c r="I337" s="220"/>
      <c r="J337" s="220"/>
    </row>
    <row r="338" spans="1:10" x14ac:dyDescent="0.2">
      <c r="A338" s="59">
        <f t="shared" si="75"/>
        <v>58</v>
      </c>
      <c r="B338" s="420" t="str">
        <f t="shared" si="76"/>
        <v/>
      </c>
      <c r="C338" s="220"/>
      <c r="D338" s="220"/>
      <c r="E338" s="220"/>
      <c r="F338" s="220"/>
      <c r="G338" s="221"/>
      <c r="H338" s="220"/>
      <c r="I338" s="220"/>
      <c r="J338" s="220"/>
    </row>
    <row r="339" spans="1:10" x14ac:dyDescent="0.2">
      <c r="A339" s="59">
        <f t="shared" si="75"/>
        <v>58</v>
      </c>
      <c r="B339" s="420" t="str">
        <f t="shared" si="76"/>
        <v/>
      </c>
      <c r="C339" s="220"/>
      <c r="D339" s="220"/>
      <c r="E339" s="220"/>
      <c r="F339" s="220"/>
      <c r="G339" s="221"/>
      <c r="H339" s="220"/>
      <c r="I339" s="220"/>
      <c r="J339" s="220"/>
    </row>
    <row r="340" spans="1:10" x14ac:dyDescent="0.2">
      <c r="A340" s="60">
        <f t="shared" si="75"/>
        <v>58</v>
      </c>
      <c r="B340" s="420" t="str">
        <f t="shared" si="76"/>
        <v/>
      </c>
      <c r="C340" s="222"/>
      <c r="D340" s="222"/>
      <c r="E340" s="222"/>
      <c r="F340" s="222"/>
      <c r="G340" s="223"/>
      <c r="H340" s="222"/>
      <c r="I340" s="222"/>
      <c r="J340" s="222"/>
    </row>
    <row r="341" spans="1:10" x14ac:dyDescent="0.2">
      <c r="A341" s="30">
        <v>58</v>
      </c>
      <c r="B341" s="419" t="str">
        <f>"Total "&amp;A341</f>
        <v>Total 58</v>
      </c>
      <c r="C341" s="31" t="str">
        <f>IF(AND(C334=0,C335=0,C336=0,C337=0,C338=0,C339=0,C340=0),"",SUM(C334:C340))</f>
        <v/>
      </c>
      <c r="D341" s="31" t="str">
        <f>IF(AND(D334=0,D335=0,D336=0,D337=0,D338=0,D339=0,D340=0),"",SUM(D334:D340))</f>
        <v/>
      </c>
      <c r="E341" s="31">
        <f>IF(AND(E334=0,E335=0,E336=0,E337=0,E338=0,E339=0,E340=0),0,SUM(E334:E340))</f>
        <v>0</v>
      </c>
      <c r="F341" s="31">
        <f>IF(AND(F334=0,F335=0,F336=0,F337=0,F338=0,F339=0,F340=0),0,SUM(F334:F340))</f>
        <v>0</v>
      </c>
      <c r="G341" s="32" t="str">
        <f>IF(AND(G334=0,G335=0,G336=0,G337=0,G338=0,G339=0,G340=0),"",AVERAGE(G334:G340))</f>
        <v/>
      </c>
      <c r="H341" s="31">
        <f>IF(AND(H334=0,H335=0,H336=0,H337=0,H338=0,H339=0,H340=0),0,SUM(H334:H340))</f>
        <v>0</v>
      </c>
      <c r="I341" s="31" t="str">
        <f>IF(AND(I334=0,I335=0,I336=0,I337=0,I338=0,I339=0,I340=0),"",SUM(I334:I340))</f>
        <v/>
      </c>
      <c r="J341" s="31">
        <f>IF(AND(J334=0,J335=0,J336=0,J337=0,J338=0,J339=0,J340=0),0,AVERAGE(J334:J340))</f>
        <v>0</v>
      </c>
    </row>
    <row r="342" spans="1:10" x14ac:dyDescent="0.2">
      <c r="A342" s="58">
        <f t="shared" ref="A342:A348" si="77">A334+1</f>
        <v>59</v>
      </c>
      <c r="B342" s="420" t="str">
        <f>IF(B340&lt;&gt;"",B340+1,"")</f>
        <v/>
      </c>
      <c r="C342" s="218"/>
      <c r="D342" s="218"/>
      <c r="E342" s="218"/>
      <c r="F342" s="218"/>
      <c r="G342" s="219"/>
      <c r="H342" s="218"/>
      <c r="I342" s="218"/>
      <c r="J342" s="218"/>
    </row>
    <row r="343" spans="1:10" x14ac:dyDescent="0.2">
      <c r="A343" s="58">
        <f t="shared" si="77"/>
        <v>59</v>
      </c>
      <c r="B343" s="420" t="str">
        <f t="shared" ref="B343:B348" si="78">IF(B342&lt;&gt;"",B342+1,"")</f>
        <v/>
      </c>
      <c r="C343" s="218"/>
      <c r="D343" s="218"/>
      <c r="E343" s="218"/>
      <c r="F343" s="218"/>
      <c r="G343" s="219"/>
      <c r="H343" s="218"/>
      <c r="I343" s="218"/>
      <c r="J343" s="218"/>
    </row>
    <row r="344" spans="1:10" x14ac:dyDescent="0.2">
      <c r="A344" s="58">
        <f t="shared" si="77"/>
        <v>59</v>
      </c>
      <c r="B344" s="420" t="str">
        <f t="shared" si="78"/>
        <v/>
      </c>
      <c r="C344" s="218"/>
      <c r="D344" s="218"/>
      <c r="E344" s="218"/>
      <c r="F344" s="218"/>
      <c r="G344" s="219"/>
      <c r="H344" s="218"/>
      <c r="I344" s="218"/>
      <c r="J344" s="218"/>
    </row>
    <row r="345" spans="1:10" x14ac:dyDescent="0.2">
      <c r="A345" s="59">
        <f t="shared" si="77"/>
        <v>59</v>
      </c>
      <c r="B345" s="420" t="str">
        <f t="shared" si="78"/>
        <v/>
      </c>
      <c r="C345" s="220"/>
      <c r="D345" s="220"/>
      <c r="E345" s="220"/>
      <c r="F345" s="220"/>
      <c r="G345" s="221"/>
      <c r="H345" s="220"/>
      <c r="I345" s="220"/>
      <c r="J345" s="220"/>
    </row>
    <row r="346" spans="1:10" x14ac:dyDescent="0.2">
      <c r="A346" s="59">
        <f t="shared" si="77"/>
        <v>59</v>
      </c>
      <c r="B346" s="420" t="str">
        <f t="shared" si="78"/>
        <v/>
      </c>
      <c r="C346" s="220"/>
      <c r="D346" s="220"/>
      <c r="E346" s="220"/>
      <c r="F346" s="220"/>
      <c r="G346" s="221"/>
      <c r="H346" s="220"/>
      <c r="I346" s="220"/>
      <c r="J346" s="220"/>
    </row>
    <row r="347" spans="1:10" x14ac:dyDescent="0.2">
      <c r="A347" s="59">
        <f t="shared" si="77"/>
        <v>59</v>
      </c>
      <c r="B347" s="420" t="str">
        <f t="shared" si="78"/>
        <v/>
      </c>
      <c r="C347" s="220"/>
      <c r="D347" s="220"/>
      <c r="E347" s="220"/>
      <c r="F347" s="220"/>
      <c r="G347" s="221"/>
      <c r="H347" s="220"/>
      <c r="I347" s="220"/>
      <c r="J347" s="220"/>
    </row>
    <row r="348" spans="1:10" x14ac:dyDescent="0.2">
      <c r="A348" s="60">
        <f t="shared" si="77"/>
        <v>59</v>
      </c>
      <c r="B348" s="420" t="str">
        <f t="shared" si="78"/>
        <v/>
      </c>
      <c r="C348" s="222"/>
      <c r="D348" s="222"/>
      <c r="E348" s="222"/>
      <c r="F348" s="222"/>
      <c r="G348" s="223"/>
      <c r="H348" s="222"/>
      <c r="I348" s="222"/>
      <c r="J348" s="222"/>
    </row>
    <row r="349" spans="1:10" x14ac:dyDescent="0.2">
      <c r="A349" s="30">
        <v>59</v>
      </c>
      <c r="B349" s="419" t="str">
        <f>"Total "&amp;A349</f>
        <v>Total 59</v>
      </c>
      <c r="C349" s="31" t="str">
        <f>IF(AND(C342=0,C343=0,C344=0,C345=0,C346=0,C347=0,C348=0),"",SUM(C342:C348))</f>
        <v/>
      </c>
      <c r="D349" s="31" t="str">
        <f>IF(AND(D342=0,D343=0,D344=0,D345=0,D346=0,D347=0,D348=0),"",SUM(D342:D348))</f>
        <v/>
      </c>
      <c r="E349" s="31">
        <f>IF(AND(E342=0,E343=0,E344=0,E345=0,E346=0,E347=0,E348=0),0,SUM(E342:E348))</f>
        <v>0</v>
      </c>
      <c r="F349" s="31">
        <f>IF(AND(F342=0,F343=0,F344=0,F345=0,F346=0,F347=0,F348=0),0,SUM(F342:F348))</f>
        <v>0</v>
      </c>
      <c r="G349" s="32" t="str">
        <f>IF(AND(G342=0,G343=0,G344=0,G345=0,G346=0,G347=0,G348=0),"",AVERAGE(G342:G348))</f>
        <v/>
      </c>
      <c r="H349" s="31">
        <f>IF(AND(H342=0,H343=0,H344=0,H345=0,H346=0,H347=0,H348=0),0,SUM(H342:H348))</f>
        <v>0</v>
      </c>
      <c r="I349" s="31" t="str">
        <f>IF(AND(I342=0,I343=0,I344=0,I345=0,I346=0,I347=0,I348=0),"",SUM(I342:I348))</f>
        <v/>
      </c>
      <c r="J349" s="31">
        <f>IF(AND(J342=0,J343=0,J344=0,J345=0,J346=0,J347=0,J348=0),0,AVERAGE(J342:J348))</f>
        <v>0</v>
      </c>
    </row>
    <row r="350" spans="1:10" x14ac:dyDescent="0.2">
      <c r="A350" s="58">
        <f t="shared" ref="A350:A356" si="79">A342+1</f>
        <v>60</v>
      </c>
      <c r="B350" s="420" t="str">
        <f>IF(B348&lt;&gt;"",B348+1,"")</f>
        <v/>
      </c>
      <c r="C350" s="218"/>
      <c r="D350" s="218"/>
      <c r="E350" s="218"/>
      <c r="F350" s="218"/>
      <c r="G350" s="219"/>
      <c r="H350" s="218"/>
      <c r="I350" s="218"/>
      <c r="J350" s="218"/>
    </row>
    <row r="351" spans="1:10" x14ac:dyDescent="0.2">
      <c r="A351" s="58">
        <f t="shared" si="79"/>
        <v>60</v>
      </c>
      <c r="B351" s="420" t="str">
        <f t="shared" ref="B351:B356" si="80">IF(B350&lt;&gt;"",B350+1,"")</f>
        <v/>
      </c>
      <c r="C351" s="218"/>
      <c r="D351" s="218"/>
      <c r="E351" s="218"/>
      <c r="F351" s="218"/>
      <c r="G351" s="219"/>
      <c r="H351" s="218"/>
      <c r="I351" s="218"/>
      <c r="J351" s="218"/>
    </row>
    <row r="352" spans="1:10" x14ac:dyDescent="0.2">
      <c r="A352" s="58">
        <f t="shared" si="79"/>
        <v>60</v>
      </c>
      <c r="B352" s="420" t="str">
        <f t="shared" si="80"/>
        <v/>
      </c>
      <c r="C352" s="218"/>
      <c r="D352" s="218"/>
      <c r="E352" s="218"/>
      <c r="F352" s="218"/>
      <c r="G352" s="219"/>
      <c r="H352" s="218"/>
      <c r="I352" s="218"/>
      <c r="J352" s="218"/>
    </row>
    <row r="353" spans="1:10" x14ac:dyDescent="0.2">
      <c r="A353" s="59">
        <f t="shared" si="79"/>
        <v>60</v>
      </c>
      <c r="B353" s="420" t="str">
        <f t="shared" si="80"/>
        <v/>
      </c>
      <c r="C353" s="220"/>
      <c r="D353" s="220"/>
      <c r="E353" s="220"/>
      <c r="F353" s="220"/>
      <c r="G353" s="221"/>
      <c r="H353" s="220"/>
      <c r="I353" s="220"/>
      <c r="J353" s="220"/>
    </row>
    <row r="354" spans="1:10" x14ac:dyDescent="0.2">
      <c r="A354" s="59">
        <f t="shared" si="79"/>
        <v>60</v>
      </c>
      <c r="B354" s="420" t="str">
        <f t="shared" si="80"/>
        <v/>
      </c>
      <c r="C354" s="220"/>
      <c r="D354" s="220"/>
      <c r="E354" s="220"/>
      <c r="F354" s="220"/>
      <c r="G354" s="221"/>
      <c r="H354" s="220"/>
      <c r="I354" s="220"/>
      <c r="J354" s="220"/>
    </row>
    <row r="355" spans="1:10" x14ac:dyDescent="0.2">
      <c r="A355" s="59">
        <f t="shared" si="79"/>
        <v>60</v>
      </c>
      <c r="B355" s="420" t="str">
        <f t="shared" si="80"/>
        <v/>
      </c>
      <c r="C355" s="220"/>
      <c r="D355" s="220"/>
      <c r="E355" s="220"/>
      <c r="F355" s="220"/>
      <c r="G355" s="221"/>
      <c r="H355" s="220"/>
      <c r="I355" s="220"/>
      <c r="J355" s="220"/>
    </row>
    <row r="356" spans="1:10" x14ac:dyDescent="0.2">
      <c r="A356" s="60">
        <f t="shared" si="79"/>
        <v>60</v>
      </c>
      <c r="B356" s="420" t="str">
        <f t="shared" si="80"/>
        <v/>
      </c>
      <c r="C356" s="222"/>
      <c r="D356" s="222"/>
      <c r="E356" s="222"/>
      <c r="F356" s="222"/>
      <c r="G356" s="223"/>
      <c r="H356" s="222"/>
      <c r="I356" s="222"/>
      <c r="J356" s="222"/>
    </row>
    <row r="357" spans="1:10" x14ac:dyDescent="0.2">
      <c r="A357" s="30">
        <v>60</v>
      </c>
      <c r="B357" s="419" t="str">
        <f>"Total "&amp;A357</f>
        <v>Total 60</v>
      </c>
      <c r="C357" s="31" t="str">
        <f>IF(AND(C350=0,C351=0,C352=0,C353=0,C354=0,C355=0,C356=0),"",SUM(C350:C356))</f>
        <v/>
      </c>
      <c r="D357" s="31" t="str">
        <f>IF(AND(D350=0,D351=0,D352=0,D353=0,D354=0,D355=0,D356=0),"",SUM(D350:D356))</f>
        <v/>
      </c>
      <c r="E357" s="31">
        <f>IF(AND(E350=0,E351=0,E352=0,E353=0,E354=0,E355=0,E356=0),0,SUM(E350:E356))</f>
        <v>0</v>
      </c>
      <c r="F357" s="31">
        <f>IF(AND(F350=0,F351=0,F352=0,F353=0,F354=0,F355=0,F356=0),0,SUM(F350:F356))</f>
        <v>0</v>
      </c>
      <c r="G357" s="32" t="str">
        <f>IF(AND(G350=0,G351=0,G352=0,G353=0,G354=0,G355=0,G356=0),"",AVERAGE(G350:G356))</f>
        <v/>
      </c>
      <c r="H357" s="31">
        <f>IF(AND(H350=0,H351=0,H352=0,H353=0,H354=0,H355=0,H356=0),0,SUM(H350:H356))</f>
        <v>0</v>
      </c>
      <c r="I357" s="31" t="str">
        <f>IF(AND(I350=0,I351=0,I352=0,I353=0,I354=0,I355=0,I356=0),"",SUM(I350:I356))</f>
        <v/>
      </c>
      <c r="J357" s="31">
        <f>IF(AND(J350=0,J351=0,J352=0,J353=0,J354=0,J355=0,J356=0),0,AVERAGE(J350:J356))</f>
        <v>0</v>
      </c>
    </row>
    <row r="358" spans="1:10" x14ac:dyDescent="0.2">
      <c r="A358" s="58">
        <f t="shared" ref="A358:A371" si="81">A350+1</f>
        <v>61</v>
      </c>
      <c r="B358" s="420" t="str">
        <f>IF(B356&lt;&gt;"",B356+1,"")</f>
        <v/>
      </c>
      <c r="C358" s="218"/>
      <c r="D358" s="218"/>
      <c r="E358" s="218"/>
      <c r="F358" s="218"/>
      <c r="G358" s="219"/>
      <c r="H358" s="218"/>
      <c r="I358" s="218"/>
      <c r="J358" s="218"/>
    </row>
    <row r="359" spans="1:10" x14ac:dyDescent="0.2">
      <c r="A359" s="58">
        <f t="shared" si="81"/>
        <v>61</v>
      </c>
      <c r="B359" s="420" t="str">
        <f t="shared" ref="B359:B364" si="82">IF(B358&lt;&gt;"",B358+1,"")</f>
        <v/>
      </c>
      <c r="C359" s="218"/>
      <c r="D359" s="218"/>
      <c r="E359" s="218"/>
      <c r="F359" s="218"/>
      <c r="G359" s="219"/>
      <c r="H359" s="218"/>
      <c r="I359" s="218"/>
      <c r="J359" s="218"/>
    </row>
    <row r="360" spans="1:10" x14ac:dyDescent="0.2">
      <c r="A360" s="58">
        <f t="shared" si="81"/>
        <v>61</v>
      </c>
      <c r="B360" s="420" t="str">
        <f t="shared" si="82"/>
        <v/>
      </c>
      <c r="C360" s="218"/>
      <c r="D360" s="218"/>
      <c r="E360" s="218"/>
      <c r="F360" s="218"/>
      <c r="G360" s="219"/>
      <c r="H360" s="218"/>
      <c r="I360" s="218"/>
      <c r="J360" s="218"/>
    </row>
    <row r="361" spans="1:10" x14ac:dyDescent="0.2">
      <c r="A361" s="59">
        <f t="shared" si="81"/>
        <v>61</v>
      </c>
      <c r="B361" s="420" t="str">
        <f t="shared" si="82"/>
        <v/>
      </c>
      <c r="C361" s="220"/>
      <c r="D361" s="220"/>
      <c r="E361" s="220"/>
      <c r="F361" s="220"/>
      <c r="G361" s="221"/>
      <c r="H361" s="220"/>
      <c r="I361" s="220"/>
      <c r="J361" s="220"/>
    </row>
    <row r="362" spans="1:10" x14ac:dyDescent="0.2">
      <c r="A362" s="59">
        <f t="shared" si="81"/>
        <v>61</v>
      </c>
      <c r="B362" s="420" t="str">
        <f t="shared" si="82"/>
        <v/>
      </c>
      <c r="C362" s="220"/>
      <c r="D362" s="220"/>
      <c r="E362" s="220"/>
      <c r="F362" s="220"/>
      <c r="G362" s="221"/>
      <c r="H362" s="220"/>
      <c r="I362" s="220"/>
      <c r="J362" s="220"/>
    </row>
    <row r="363" spans="1:10" x14ac:dyDescent="0.2">
      <c r="A363" s="59">
        <f t="shared" si="81"/>
        <v>61</v>
      </c>
      <c r="B363" s="420" t="str">
        <f t="shared" si="82"/>
        <v/>
      </c>
      <c r="C363" s="220"/>
      <c r="D363" s="220"/>
      <c r="E363" s="220"/>
      <c r="F363" s="220"/>
      <c r="G363" s="221"/>
      <c r="H363" s="220"/>
      <c r="I363" s="220"/>
      <c r="J363" s="220"/>
    </row>
    <row r="364" spans="1:10" x14ac:dyDescent="0.2">
      <c r="A364" s="60">
        <f t="shared" si="81"/>
        <v>61</v>
      </c>
      <c r="B364" s="420" t="str">
        <f t="shared" si="82"/>
        <v/>
      </c>
      <c r="C364" s="222"/>
      <c r="D364" s="222"/>
      <c r="E364" s="222"/>
      <c r="F364" s="222"/>
      <c r="G364" s="223"/>
      <c r="H364" s="222"/>
      <c r="I364" s="222"/>
      <c r="J364" s="222"/>
    </row>
    <row r="365" spans="1:10" x14ac:dyDescent="0.2">
      <c r="A365" s="30">
        <v>61</v>
      </c>
      <c r="B365" s="419" t="str">
        <f>"Total "&amp;A365</f>
        <v>Total 61</v>
      </c>
      <c r="C365" s="31" t="str">
        <f>IF(AND(C358=0,C359=0,C360=0,C361=0,C362=0,C363=0,C364=0),"",SUM(C358:C364))</f>
        <v/>
      </c>
      <c r="D365" s="31" t="str">
        <f>IF(AND(D358=0,D359=0,D360=0,D361=0,D362=0,D363=0,D364=0),"",SUM(D358:D364))</f>
        <v/>
      </c>
      <c r="E365" s="31">
        <f>IF(AND(E358=0,E359=0,E360=0,E361=0,E362=0,E363=0,E364=0),0,SUM(E358:E364))</f>
        <v>0</v>
      </c>
      <c r="F365" s="31">
        <f>IF(AND(F358=0,F359=0,F360=0,F361=0,F362=0,F363=0,F364=0),0,SUM(F358:F364))</f>
        <v>0</v>
      </c>
      <c r="G365" s="32" t="str">
        <f>IF(AND(G358=0,G359=0,G360=0,G361=0,G362=0,G363=0,G364=0),"",AVERAGE(G358:G364))</f>
        <v/>
      </c>
      <c r="H365" s="31">
        <f>IF(AND(H358=0,H359=0,H360=0,H361=0,H362=0,H363=0,H364=0),0,SUM(H358:H364))</f>
        <v>0</v>
      </c>
      <c r="I365" s="31" t="str">
        <f>IF(AND(I358=0,I359=0,I360=0,I361=0,I362=0,I363=0,I364=0),"",SUM(I358:I364))</f>
        <v/>
      </c>
      <c r="J365" s="31">
        <f>IF(AND(J358=0,J359=0,J360=0,J361=0,J362=0,J363=0,J364=0),0,AVERAGE(J358:J364))</f>
        <v>0</v>
      </c>
    </row>
    <row r="366" spans="1:10" x14ac:dyDescent="0.2">
      <c r="A366" s="58">
        <f t="shared" si="81"/>
        <v>62</v>
      </c>
      <c r="B366" s="420" t="str">
        <f>IF(B364&lt;&gt;"",B364+1,"")</f>
        <v/>
      </c>
      <c r="C366" s="218"/>
      <c r="D366" s="218"/>
      <c r="E366" s="218"/>
      <c r="F366" s="218"/>
      <c r="G366" s="219"/>
      <c r="H366" s="218"/>
      <c r="I366" s="218"/>
      <c r="J366" s="218"/>
    </row>
    <row r="367" spans="1:10" x14ac:dyDescent="0.2">
      <c r="A367" s="58">
        <f t="shared" si="81"/>
        <v>62</v>
      </c>
      <c r="B367" s="420" t="str">
        <f t="shared" ref="B367:B372" si="83">IF(B366&lt;&gt;"",B366+1,"")</f>
        <v/>
      </c>
      <c r="C367" s="218"/>
      <c r="D367" s="218"/>
      <c r="E367" s="218"/>
      <c r="F367" s="218"/>
      <c r="G367" s="219"/>
      <c r="H367" s="218"/>
      <c r="I367" s="218"/>
      <c r="J367" s="218"/>
    </row>
    <row r="368" spans="1:10" x14ac:dyDescent="0.2">
      <c r="A368" s="58">
        <f t="shared" si="81"/>
        <v>62</v>
      </c>
      <c r="B368" s="420" t="str">
        <f t="shared" si="83"/>
        <v/>
      </c>
      <c r="C368" s="218"/>
      <c r="D368" s="218"/>
      <c r="E368" s="218"/>
      <c r="F368" s="218"/>
      <c r="G368" s="219"/>
      <c r="H368" s="218"/>
      <c r="I368" s="218"/>
      <c r="J368" s="218"/>
    </row>
    <row r="369" spans="1:10" x14ac:dyDescent="0.2">
      <c r="A369" s="59">
        <f t="shared" si="81"/>
        <v>62</v>
      </c>
      <c r="B369" s="420" t="str">
        <f t="shared" si="83"/>
        <v/>
      </c>
      <c r="C369" s="220"/>
      <c r="D369" s="220"/>
      <c r="E369" s="220"/>
      <c r="F369" s="220"/>
      <c r="G369" s="221"/>
      <c r="H369" s="220"/>
      <c r="I369" s="220"/>
      <c r="J369" s="220"/>
    </row>
    <row r="370" spans="1:10" x14ac:dyDescent="0.2">
      <c r="A370" s="59">
        <f t="shared" si="81"/>
        <v>62</v>
      </c>
      <c r="B370" s="420" t="str">
        <f t="shared" si="83"/>
        <v/>
      </c>
      <c r="C370" s="220"/>
      <c r="D370" s="220"/>
      <c r="E370" s="220"/>
      <c r="F370" s="220"/>
      <c r="G370" s="221"/>
      <c r="H370" s="220"/>
      <c r="I370" s="220"/>
      <c r="J370" s="220"/>
    </row>
    <row r="371" spans="1:10" x14ac:dyDescent="0.2">
      <c r="A371" s="59">
        <f t="shared" si="81"/>
        <v>62</v>
      </c>
      <c r="B371" s="420" t="str">
        <f t="shared" si="83"/>
        <v/>
      </c>
      <c r="C371" s="220"/>
      <c r="D371" s="220"/>
      <c r="E371" s="220"/>
      <c r="F371" s="220"/>
      <c r="G371" s="221"/>
      <c r="H371" s="220"/>
      <c r="I371" s="220"/>
      <c r="J371" s="220"/>
    </row>
    <row r="372" spans="1:10" x14ac:dyDescent="0.2">
      <c r="A372" s="60">
        <v>62</v>
      </c>
      <c r="B372" s="420" t="str">
        <f t="shared" si="83"/>
        <v/>
      </c>
      <c r="C372" s="222"/>
      <c r="D372" s="222"/>
      <c r="E372" s="222"/>
      <c r="F372" s="222"/>
      <c r="G372" s="223"/>
      <c r="H372" s="222"/>
      <c r="I372" s="222"/>
      <c r="J372" s="222"/>
    </row>
    <row r="373" spans="1:10" x14ac:dyDescent="0.2">
      <c r="A373" s="30">
        <v>62</v>
      </c>
      <c r="B373" s="419" t="str">
        <f>"Total "&amp;A373</f>
        <v>Total 62</v>
      </c>
      <c r="C373" s="31" t="str">
        <f>IF(AND(C366=0,C367=0,C368=0,C369=0,C370=0,C371=0,C372=0),"",SUM(C366:C372))</f>
        <v/>
      </c>
      <c r="D373" s="31" t="str">
        <f>IF(AND(D366=0,D367=0,D368=0,D369=0,D370=0,D371=0,D372=0),"",SUM(D366:D372))</f>
        <v/>
      </c>
      <c r="E373" s="31">
        <f>IF(AND(E366=0,E367=0,E368=0,E369=0,E370=0,E371=0,E372=0),0,SUM(E366:E372))</f>
        <v>0</v>
      </c>
      <c r="F373" s="31">
        <f>IF(AND(F366=0,F367=0,F368=0,F369=0,F370=0,F371=0,F372=0),0,SUM(F366:F372))</f>
        <v>0</v>
      </c>
      <c r="G373" s="32" t="str">
        <f>IF(AND(G366=0,G367=0,G368=0,G369=0,G370=0,G371=0,G372=0),"",AVERAGE(G366:G372))</f>
        <v/>
      </c>
      <c r="H373" s="31">
        <f>IF(AND(H366=0,H367=0,H368=0,H369=0,H370=0,H371=0,H372=0),0,SUM(H366:H372))</f>
        <v>0</v>
      </c>
      <c r="I373" s="31" t="str">
        <f>IF(AND(I366=0,I367=0,I368=0,I369=0,I370=0,I371=0,I372=0),"",SUM(I366:I372))</f>
        <v/>
      </c>
      <c r="J373" s="31">
        <f>IF(AND(J366=0,J367=0,J368=0,J369=0,J370=0,J371=0,J372=0),0,AVERAGE(J366:J372))</f>
        <v>0</v>
      </c>
    </row>
    <row r="374" spans="1:10" x14ac:dyDescent="0.2">
      <c r="A374" s="58">
        <v>63</v>
      </c>
      <c r="B374" s="420" t="str">
        <f>IF(B372&lt;&gt;"",B372+1,"")</f>
        <v/>
      </c>
      <c r="C374" s="218"/>
      <c r="D374" s="218"/>
      <c r="E374" s="218"/>
      <c r="F374" s="218"/>
      <c r="G374" s="219"/>
      <c r="H374" s="218"/>
      <c r="I374" s="218"/>
      <c r="J374" s="218"/>
    </row>
    <row r="375" spans="1:10" x14ac:dyDescent="0.2">
      <c r="A375" s="58">
        <f t="shared" ref="A375:A380" si="84">A366+1</f>
        <v>63</v>
      </c>
      <c r="B375" s="420" t="str">
        <f t="shared" ref="B375:B380" si="85">IF(B374&lt;&gt;"",B374+1,"")</f>
        <v/>
      </c>
      <c r="C375" s="218"/>
      <c r="D375" s="218"/>
      <c r="E375" s="218"/>
      <c r="F375" s="218"/>
      <c r="G375" s="219"/>
      <c r="H375" s="218"/>
      <c r="I375" s="218"/>
      <c r="J375" s="218"/>
    </row>
    <row r="376" spans="1:10" x14ac:dyDescent="0.2">
      <c r="A376" s="58">
        <f t="shared" si="84"/>
        <v>63</v>
      </c>
      <c r="B376" s="420" t="str">
        <f t="shared" si="85"/>
        <v/>
      </c>
      <c r="C376" s="218"/>
      <c r="D376" s="218"/>
      <c r="E376" s="218"/>
      <c r="F376" s="218"/>
      <c r="G376" s="219"/>
      <c r="H376" s="218"/>
      <c r="I376" s="218"/>
      <c r="J376" s="218"/>
    </row>
    <row r="377" spans="1:10" x14ac:dyDescent="0.2">
      <c r="A377" s="59">
        <f t="shared" si="84"/>
        <v>63</v>
      </c>
      <c r="B377" s="420" t="str">
        <f t="shared" si="85"/>
        <v/>
      </c>
      <c r="C377" s="220"/>
      <c r="D377" s="220"/>
      <c r="E377" s="220"/>
      <c r="F377" s="220"/>
      <c r="G377" s="221"/>
      <c r="H377" s="220"/>
      <c r="I377" s="220"/>
      <c r="J377" s="220"/>
    </row>
    <row r="378" spans="1:10" x14ac:dyDescent="0.2">
      <c r="A378" s="59">
        <f t="shared" si="84"/>
        <v>63</v>
      </c>
      <c r="B378" s="420" t="str">
        <f t="shared" si="85"/>
        <v/>
      </c>
      <c r="C378" s="220"/>
      <c r="D378" s="220"/>
      <c r="E378" s="220"/>
      <c r="F378" s="220"/>
      <c r="G378" s="221"/>
      <c r="H378" s="220"/>
      <c r="I378" s="220"/>
      <c r="J378" s="220"/>
    </row>
    <row r="379" spans="1:10" x14ac:dyDescent="0.2">
      <c r="A379" s="59">
        <f t="shared" si="84"/>
        <v>63</v>
      </c>
      <c r="B379" s="420" t="str">
        <f t="shared" si="85"/>
        <v/>
      </c>
      <c r="C379" s="220"/>
      <c r="D379" s="220"/>
      <c r="E379" s="220"/>
      <c r="F379" s="220"/>
      <c r="G379" s="221"/>
      <c r="H379" s="220"/>
      <c r="I379" s="220"/>
      <c r="J379" s="220"/>
    </row>
    <row r="380" spans="1:10" x14ac:dyDescent="0.2">
      <c r="A380" s="60">
        <f t="shared" si="84"/>
        <v>63</v>
      </c>
      <c r="B380" s="420" t="str">
        <f t="shared" si="85"/>
        <v/>
      </c>
      <c r="C380" s="222"/>
      <c r="D380" s="222"/>
      <c r="E380" s="222"/>
      <c r="F380" s="222"/>
      <c r="G380" s="223"/>
      <c r="H380" s="222"/>
      <c r="I380" s="222"/>
      <c r="J380" s="222"/>
    </row>
    <row r="381" spans="1:10" x14ac:dyDescent="0.2">
      <c r="A381" s="30">
        <v>63</v>
      </c>
      <c r="B381" s="419" t="str">
        <f>"Total "&amp;A381</f>
        <v>Total 63</v>
      </c>
      <c r="C381" s="31" t="str">
        <f>IF(AND(C374=0,C375=0,C376=0,C377=0,C378=0,C379=0,C380=0),"",SUM(C374:C380))</f>
        <v/>
      </c>
      <c r="D381" s="31" t="str">
        <f>IF(AND(D374=0,D375=0,D376=0,D377=0,D378=0,D379=0,D380=0),"",SUM(D374:D380))</f>
        <v/>
      </c>
      <c r="E381" s="31">
        <f>IF(AND(E374=0,E375=0,E376=0,E377=0,E378=0,E379=0,E380=0),0,SUM(E374:E380))</f>
        <v>0</v>
      </c>
      <c r="F381" s="31">
        <f>IF(AND(F374=0,F375=0,F376=0,F377=0,F378=0,F379=0,F380=0),0,SUM(F374:F380))</f>
        <v>0</v>
      </c>
      <c r="G381" s="32" t="str">
        <f>IF(AND(G374=0,G375=0,G376=0,G377=0,G378=0,G379=0,G380=0),"",AVERAGE(G374:G380))</f>
        <v/>
      </c>
      <c r="H381" s="31">
        <f>IF(AND(H374=0,H375=0,H376=0,H377=0,H378=0,H379=0,H380=0),0,SUM(H374:H380))</f>
        <v>0</v>
      </c>
      <c r="I381" s="31" t="str">
        <f>IF(AND(I374=0,I375=0,I376=0,I377=0,I378=0,I379=0,I380=0),"",SUM(I374:I380))</f>
        <v/>
      </c>
      <c r="J381" s="31">
        <f>IF(AND(J374=0,J375=0,J376=0,J377=0,J378=0,J379=0,J380=0),0,AVERAGE(J374:J380))</f>
        <v>0</v>
      </c>
    </row>
    <row r="382" spans="1:10" x14ac:dyDescent="0.2">
      <c r="A382" s="58">
        <f t="shared" ref="A382:A388" si="86">A374+1</f>
        <v>64</v>
      </c>
      <c r="B382" s="420" t="str">
        <f>IF(B380&lt;&gt;"",B380+1,"")</f>
        <v/>
      </c>
      <c r="C382" s="218"/>
      <c r="D382" s="218"/>
      <c r="E382" s="218"/>
      <c r="F382" s="218"/>
      <c r="G382" s="219"/>
      <c r="H382" s="218"/>
      <c r="I382" s="218"/>
      <c r="J382" s="218"/>
    </row>
    <row r="383" spans="1:10" x14ac:dyDescent="0.2">
      <c r="A383" s="58">
        <f t="shared" si="86"/>
        <v>64</v>
      </c>
      <c r="B383" s="420" t="str">
        <f t="shared" ref="B383:B388" si="87">IF(B382&lt;&gt;"",B382+1,"")</f>
        <v/>
      </c>
      <c r="C383" s="218"/>
      <c r="D383" s="218"/>
      <c r="E383" s="218"/>
      <c r="F383" s="218"/>
      <c r="G383" s="219"/>
      <c r="H383" s="218"/>
      <c r="I383" s="218"/>
      <c r="J383" s="218"/>
    </row>
    <row r="384" spans="1:10" x14ac:dyDescent="0.2">
      <c r="A384" s="58">
        <f t="shared" si="86"/>
        <v>64</v>
      </c>
      <c r="B384" s="420" t="str">
        <f t="shared" si="87"/>
        <v/>
      </c>
      <c r="C384" s="218"/>
      <c r="D384" s="218"/>
      <c r="E384" s="218"/>
      <c r="F384" s="218"/>
      <c r="G384" s="219"/>
      <c r="H384" s="218"/>
      <c r="I384" s="218"/>
      <c r="J384" s="218"/>
    </row>
    <row r="385" spans="1:10" x14ac:dyDescent="0.2">
      <c r="A385" s="59">
        <f t="shared" si="86"/>
        <v>64</v>
      </c>
      <c r="B385" s="420" t="str">
        <f t="shared" si="87"/>
        <v/>
      </c>
      <c r="C385" s="220"/>
      <c r="D385" s="220"/>
      <c r="E385" s="220"/>
      <c r="F385" s="220"/>
      <c r="G385" s="221"/>
      <c r="H385" s="220"/>
      <c r="I385" s="220"/>
      <c r="J385" s="220"/>
    </row>
    <row r="386" spans="1:10" x14ac:dyDescent="0.2">
      <c r="A386" s="59">
        <f t="shared" si="86"/>
        <v>64</v>
      </c>
      <c r="B386" s="420" t="str">
        <f t="shared" si="87"/>
        <v/>
      </c>
      <c r="C386" s="220"/>
      <c r="D386" s="220"/>
      <c r="E386" s="220"/>
      <c r="F386" s="220"/>
      <c r="G386" s="221"/>
      <c r="H386" s="220"/>
      <c r="I386" s="220"/>
      <c r="J386" s="220"/>
    </row>
    <row r="387" spans="1:10" x14ac:dyDescent="0.2">
      <c r="A387" s="59">
        <f t="shared" si="86"/>
        <v>64</v>
      </c>
      <c r="B387" s="420" t="str">
        <f t="shared" si="87"/>
        <v/>
      </c>
      <c r="C387" s="220"/>
      <c r="D387" s="220"/>
      <c r="E387" s="220"/>
      <c r="F387" s="220"/>
      <c r="G387" s="221"/>
      <c r="H387" s="220"/>
      <c r="I387" s="220"/>
      <c r="J387" s="220"/>
    </row>
    <row r="388" spans="1:10" x14ac:dyDescent="0.2">
      <c r="A388" s="60">
        <f t="shared" si="86"/>
        <v>64</v>
      </c>
      <c r="B388" s="420" t="str">
        <f t="shared" si="87"/>
        <v/>
      </c>
      <c r="C388" s="222"/>
      <c r="D388" s="222"/>
      <c r="E388" s="222"/>
      <c r="F388" s="222"/>
      <c r="G388" s="223"/>
      <c r="H388" s="222"/>
      <c r="I388" s="222"/>
      <c r="J388" s="222"/>
    </row>
    <row r="389" spans="1:10" x14ac:dyDescent="0.2">
      <c r="A389" s="30">
        <v>64</v>
      </c>
      <c r="B389" s="419" t="str">
        <f>"Total "&amp;A389</f>
        <v>Total 64</v>
      </c>
      <c r="C389" s="31" t="str">
        <f>IF(AND(C382=0,C383=0,C384=0,C385=0,C386=0,C387=0,C388=0),"",SUM(C382:C388))</f>
        <v/>
      </c>
      <c r="D389" s="31" t="str">
        <f>IF(AND(D382=0,D383=0,D384=0,D385=0,D386=0,D387=0,D388=0),"",SUM(D382:D388))</f>
        <v/>
      </c>
      <c r="E389" s="31">
        <f>IF(AND(E382=0,E383=0,E384=0,E385=0,E386=0,E387=0,E388=0),0,SUM(E382:E388))</f>
        <v>0</v>
      </c>
      <c r="F389" s="31">
        <f>IF(AND(F382=0,F383=0,F384=0,F385=0,F386=0,F387=0,F388=0),0,SUM(F382:F388))</f>
        <v>0</v>
      </c>
      <c r="G389" s="32" t="str">
        <f>IF(AND(G382=0,G383=0,G384=0,G385=0,G386=0,G387=0,G388=0),"",AVERAGE(G382:G388))</f>
        <v/>
      </c>
      <c r="H389" s="31">
        <f>IF(AND(H382=0,H383=0,H384=0,H385=0,H386=0,H387=0,H388=0),0,SUM(H382:H388))</f>
        <v>0</v>
      </c>
      <c r="I389" s="31" t="str">
        <f>IF(AND(I382=0,I383=0,I384=0,I385=0,I386=0,I387=0,I388=0),"",SUM(I382:I388))</f>
        <v/>
      </c>
      <c r="J389" s="31">
        <f>IF(AND(J382=0,J383=0,J384=0,J385=0,J386=0,J387=0,J388=0),0,AVERAGE(J382:J388))</f>
        <v>0</v>
      </c>
    </row>
    <row r="390" spans="1:10" x14ac:dyDescent="0.2">
      <c r="A390" s="58">
        <f t="shared" ref="A390:A396" si="88">A382+1</f>
        <v>65</v>
      </c>
      <c r="B390" s="420" t="str">
        <f>IF(B388&lt;&gt;"",B388+1,"")</f>
        <v/>
      </c>
      <c r="C390" s="218"/>
      <c r="D390" s="218"/>
      <c r="E390" s="218"/>
      <c r="F390" s="218"/>
      <c r="G390" s="219"/>
      <c r="H390" s="218"/>
      <c r="I390" s="218"/>
      <c r="J390" s="218"/>
    </row>
    <row r="391" spans="1:10" x14ac:dyDescent="0.2">
      <c r="A391" s="58">
        <f t="shared" si="88"/>
        <v>65</v>
      </c>
      <c r="B391" s="420" t="str">
        <f t="shared" ref="B391:B396" si="89">IF(B390&lt;&gt;"",B390+1,"")</f>
        <v/>
      </c>
      <c r="C391" s="218"/>
      <c r="D391" s="218"/>
      <c r="E391" s="218"/>
      <c r="F391" s="218"/>
      <c r="G391" s="219"/>
      <c r="H391" s="218"/>
      <c r="I391" s="218"/>
      <c r="J391" s="218"/>
    </row>
    <row r="392" spans="1:10" x14ac:dyDescent="0.2">
      <c r="A392" s="58">
        <f t="shared" si="88"/>
        <v>65</v>
      </c>
      <c r="B392" s="420" t="str">
        <f t="shared" si="89"/>
        <v/>
      </c>
      <c r="C392" s="218"/>
      <c r="D392" s="218"/>
      <c r="E392" s="218"/>
      <c r="F392" s="218"/>
      <c r="G392" s="219"/>
      <c r="H392" s="218"/>
      <c r="I392" s="218"/>
      <c r="J392" s="218"/>
    </row>
    <row r="393" spans="1:10" x14ac:dyDescent="0.2">
      <c r="A393" s="59">
        <f t="shared" si="88"/>
        <v>65</v>
      </c>
      <c r="B393" s="420" t="str">
        <f t="shared" si="89"/>
        <v/>
      </c>
      <c r="C393" s="220"/>
      <c r="D393" s="220"/>
      <c r="E393" s="220"/>
      <c r="F393" s="220"/>
      <c r="G393" s="221"/>
      <c r="H393" s="220"/>
      <c r="I393" s="220"/>
      <c r="J393" s="220"/>
    </row>
    <row r="394" spans="1:10" x14ac:dyDescent="0.2">
      <c r="A394" s="59">
        <f t="shared" si="88"/>
        <v>65</v>
      </c>
      <c r="B394" s="420" t="str">
        <f t="shared" si="89"/>
        <v/>
      </c>
      <c r="C394" s="220"/>
      <c r="D394" s="220"/>
      <c r="E394" s="220"/>
      <c r="F394" s="220"/>
      <c r="G394" s="221"/>
      <c r="H394" s="220"/>
      <c r="I394" s="220"/>
      <c r="J394" s="220"/>
    </row>
    <row r="395" spans="1:10" x14ac:dyDescent="0.2">
      <c r="A395" s="59">
        <f t="shared" si="88"/>
        <v>65</v>
      </c>
      <c r="B395" s="420" t="str">
        <f t="shared" si="89"/>
        <v/>
      </c>
      <c r="C395" s="220"/>
      <c r="D395" s="220"/>
      <c r="E395" s="220"/>
      <c r="F395" s="220"/>
      <c r="G395" s="221"/>
      <c r="H395" s="220"/>
      <c r="I395" s="220"/>
      <c r="J395" s="220"/>
    </row>
    <row r="396" spans="1:10" x14ac:dyDescent="0.2">
      <c r="A396" s="60">
        <f t="shared" si="88"/>
        <v>65</v>
      </c>
      <c r="B396" s="420" t="str">
        <f t="shared" si="89"/>
        <v/>
      </c>
      <c r="C396" s="222"/>
      <c r="D396" s="222"/>
      <c r="E396" s="222"/>
      <c r="F396" s="222"/>
      <c r="G396" s="223"/>
      <c r="H396" s="222"/>
      <c r="I396" s="222"/>
      <c r="J396" s="222"/>
    </row>
    <row r="397" spans="1:10" x14ac:dyDescent="0.2">
      <c r="A397" s="30">
        <v>65</v>
      </c>
      <c r="B397" s="419" t="str">
        <f>"Total "&amp;A397</f>
        <v>Total 65</v>
      </c>
      <c r="C397" s="31" t="str">
        <f>IF(AND(C390=0,C391=0,C392=0,C393=0,C394=0,C395=0,C396=0),"",SUM(C390:C396))</f>
        <v/>
      </c>
      <c r="D397" s="31" t="str">
        <f>IF(AND(D390=0,D391=0,D392=0,D393=0,D394=0,D395=0,D396=0),"",SUM(D390:D396))</f>
        <v/>
      </c>
      <c r="E397" s="31">
        <f>IF(AND(E390=0,E391=0,E392=0,E393=0,E394=0,E395=0,E396=0),0,SUM(E390:E396))</f>
        <v>0</v>
      </c>
      <c r="F397" s="31">
        <f>IF(AND(F390=0,F391=0,F392=0,F393=0,F394=0,F395=0,F396=0),0,SUM(F390:F396))</f>
        <v>0</v>
      </c>
      <c r="G397" s="32" t="str">
        <f>IF(AND(G390=0,G391=0,G392=0,G393=0,G394=0,G395=0,G396=0),"",AVERAGE(G390:G396))</f>
        <v/>
      </c>
      <c r="H397" s="31">
        <f>IF(AND(H390=0,H391=0,H392=0,H393=0,H394=0,H395=0,H396=0),0,SUM(H390:H396))</f>
        <v>0</v>
      </c>
      <c r="I397" s="31" t="str">
        <f>IF(AND(I390=0,I391=0,I392=0,I393=0,I394=0,I395=0,I396=0),"",SUM(I390:I396))</f>
        <v/>
      </c>
      <c r="J397" s="31">
        <f>IF(AND(J390=0,J391=0,J392=0,J393=0,J394=0,J395=0,J396=0),0,AVERAGE(J390:J396))</f>
        <v>0</v>
      </c>
    </row>
    <row r="398" spans="1:10" x14ac:dyDescent="0.2">
      <c r="A398" s="58">
        <f t="shared" ref="A398:A404" si="90">A390+1</f>
        <v>66</v>
      </c>
      <c r="B398" s="420" t="str">
        <f>IF(B396&lt;&gt;"",B396+1,"")</f>
        <v/>
      </c>
      <c r="C398" s="218"/>
      <c r="D398" s="218"/>
      <c r="E398" s="218"/>
      <c r="F398" s="218"/>
      <c r="G398" s="219"/>
      <c r="H398" s="218"/>
      <c r="I398" s="218"/>
      <c r="J398" s="218"/>
    </row>
    <row r="399" spans="1:10" x14ac:dyDescent="0.2">
      <c r="A399" s="58">
        <f t="shared" si="90"/>
        <v>66</v>
      </c>
      <c r="B399" s="420" t="str">
        <f t="shared" ref="B399:B404" si="91">IF(B398&lt;&gt;"",B398+1,"")</f>
        <v/>
      </c>
      <c r="C399" s="218"/>
      <c r="D399" s="218"/>
      <c r="E399" s="218"/>
      <c r="F399" s="218"/>
      <c r="G399" s="219"/>
      <c r="H399" s="218"/>
      <c r="I399" s="218"/>
      <c r="J399" s="218"/>
    </row>
    <row r="400" spans="1:10" x14ac:dyDescent="0.2">
      <c r="A400" s="58">
        <f t="shared" si="90"/>
        <v>66</v>
      </c>
      <c r="B400" s="420" t="str">
        <f t="shared" si="91"/>
        <v/>
      </c>
      <c r="C400" s="218"/>
      <c r="D400" s="218"/>
      <c r="E400" s="218"/>
      <c r="F400" s="218"/>
      <c r="G400" s="219"/>
      <c r="H400" s="218"/>
      <c r="I400" s="218"/>
      <c r="J400" s="218"/>
    </row>
    <row r="401" spans="1:10" x14ac:dyDescent="0.2">
      <c r="A401" s="59">
        <f t="shared" si="90"/>
        <v>66</v>
      </c>
      <c r="B401" s="420" t="str">
        <f t="shared" si="91"/>
        <v/>
      </c>
      <c r="C401" s="220"/>
      <c r="D401" s="220"/>
      <c r="E401" s="220"/>
      <c r="F401" s="220"/>
      <c r="G401" s="221"/>
      <c r="H401" s="220"/>
      <c r="I401" s="220"/>
      <c r="J401" s="220"/>
    </row>
    <row r="402" spans="1:10" x14ac:dyDescent="0.2">
      <c r="A402" s="59">
        <f t="shared" si="90"/>
        <v>66</v>
      </c>
      <c r="B402" s="420" t="str">
        <f t="shared" si="91"/>
        <v/>
      </c>
      <c r="C402" s="220"/>
      <c r="D402" s="220"/>
      <c r="E402" s="220"/>
      <c r="F402" s="220"/>
      <c r="G402" s="221"/>
      <c r="H402" s="220"/>
      <c r="I402" s="220"/>
      <c r="J402" s="220"/>
    </row>
    <row r="403" spans="1:10" x14ac:dyDescent="0.2">
      <c r="A403" s="59">
        <f t="shared" si="90"/>
        <v>66</v>
      </c>
      <c r="B403" s="420" t="str">
        <f t="shared" si="91"/>
        <v/>
      </c>
      <c r="C403" s="220"/>
      <c r="D403" s="220"/>
      <c r="E403" s="220"/>
      <c r="F403" s="220"/>
      <c r="G403" s="221"/>
      <c r="H403" s="220"/>
      <c r="I403" s="220"/>
      <c r="J403" s="220"/>
    </row>
    <row r="404" spans="1:10" x14ac:dyDescent="0.2">
      <c r="A404" s="60">
        <f t="shared" si="90"/>
        <v>66</v>
      </c>
      <c r="B404" s="420" t="str">
        <f t="shared" si="91"/>
        <v/>
      </c>
      <c r="C404" s="222"/>
      <c r="D404" s="222"/>
      <c r="E404" s="222"/>
      <c r="F404" s="222"/>
      <c r="G404" s="223"/>
      <c r="H404" s="222"/>
      <c r="I404" s="222"/>
      <c r="J404" s="222"/>
    </row>
    <row r="405" spans="1:10" x14ac:dyDescent="0.2">
      <c r="A405" s="30">
        <v>66</v>
      </c>
      <c r="B405" s="419" t="str">
        <f>"Total "&amp;A405</f>
        <v>Total 66</v>
      </c>
      <c r="C405" s="31" t="str">
        <f>IF(AND(C398=0,C399=0,C400=0,C401=0,C402=0,C403=0,C404=0),"",SUM(C398:C404))</f>
        <v/>
      </c>
      <c r="D405" s="31" t="str">
        <f>IF(AND(D398=0,D399=0,D400=0,D401=0,D402=0,D403=0,D404=0),"",SUM(D398:D404))</f>
        <v/>
      </c>
      <c r="E405" s="31">
        <f>IF(AND(E398=0,E399=0,E400=0,E401=0,E402=0,E403=0,E404=0),0,SUM(E398:E404))</f>
        <v>0</v>
      </c>
      <c r="F405" s="31">
        <f>IF(AND(F398=0,F399=0,F400=0,F401=0,F402=0,F403=0,F404=0),0,SUM(F398:F404))</f>
        <v>0</v>
      </c>
      <c r="G405" s="32" t="str">
        <f>IF(AND(G398=0,G399=0,G400=0,G401=0,G402=0,G403=0,G404=0),"",AVERAGE(G398:G404))</f>
        <v/>
      </c>
      <c r="H405" s="31">
        <f>IF(AND(H398=0,H399=0,H400=0,H401=0,H402=0,H403=0,H404=0),0,SUM(H398:H404))</f>
        <v>0</v>
      </c>
      <c r="I405" s="31" t="str">
        <f>IF(AND(I398=0,I399=0,I400=0,I401=0,I402=0,I403=0,I404=0),"",SUM(I398:I404))</f>
        <v/>
      </c>
      <c r="J405" s="31">
        <f>IF(AND(J398=0,J399=0,J400=0,J401=0,J402=0,J403=0,J404=0),0,AVERAGE(J398:J404))</f>
        <v>0</v>
      </c>
    </row>
    <row r="406" spans="1:10" x14ac:dyDescent="0.2">
      <c r="A406" s="58">
        <f t="shared" ref="A406:A412" si="92">A398+1</f>
        <v>67</v>
      </c>
      <c r="B406" s="420" t="str">
        <f>IF(B404&lt;&gt;"",B404+1,"")</f>
        <v/>
      </c>
      <c r="C406" s="218"/>
      <c r="D406" s="218"/>
      <c r="E406" s="218"/>
      <c r="F406" s="218"/>
      <c r="G406" s="219"/>
      <c r="H406" s="218"/>
      <c r="I406" s="218"/>
      <c r="J406" s="218"/>
    </row>
    <row r="407" spans="1:10" x14ac:dyDescent="0.2">
      <c r="A407" s="58">
        <f t="shared" si="92"/>
        <v>67</v>
      </c>
      <c r="B407" s="420" t="str">
        <f t="shared" ref="B407:B412" si="93">IF(B406&lt;&gt;"",B406+1,"")</f>
        <v/>
      </c>
      <c r="C407" s="218"/>
      <c r="D407" s="218"/>
      <c r="E407" s="218"/>
      <c r="F407" s="218"/>
      <c r="G407" s="219"/>
      <c r="H407" s="218"/>
      <c r="I407" s="218"/>
      <c r="J407" s="218"/>
    </row>
    <row r="408" spans="1:10" x14ac:dyDescent="0.2">
      <c r="A408" s="58">
        <f t="shared" si="92"/>
        <v>67</v>
      </c>
      <c r="B408" s="420" t="str">
        <f t="shared" si="93"/>
        <v/>
      </c>
      <c r="C408" s="218"/>
      <c r="D408" s="218"/>
      <c r="E408" s="218"/>
      <c r="F408" s="218"/>
      <c r="G408" s="219"/>
      <c r="H408" s="218"/>
      <c r="I408" s="218"/>
      <c r="J408" s="218"/>
    </row>
    <row r="409" spans="1:10" x14ac:dyDescent="0.2">
      <c r="A409" s="59">
        <f t="shared" si="92"/>
        <v>67</v>
      </c>
      <c r="B409" s="420" t="str">
        <f t="shared" si="93"/>
        <v/>
      </c>
      <c r="C409" s="220"/>
      <c r="D409" s="220"/>
      <c r="E409" s="220"/>
      <c r="F409" s="220"/>
      <c r="G409" s="221"/>
      <c r="H409" s="220"/>
      <c r="I409" s="220"/>
      <c r="J409" s="220"/>
    </row>
    <row r="410" spans="1:10" x14ac:dyDescent="0.2">
      <c r="A410" s="59">
        <f t="shared" si="92"/>
        <v>67</v>
      </c>
      <c r="B410" s="420" t="str">
        <f t="shared" si="93"/>
        <v/>
      </c>
      <c r="C410" s="220"/>
      <c r="D410" s="220"/>
      <c r="E410" s="220"/>
      <c r="F410" s="220"/>
      <c r="G410" s="221"/>
      <c r="H410" s="220"/>
      <c r="I410" s="220"/>
      <c r="J410" s="220"/>
    </row>
    <row r="411" spans="1:10" x14ac:dyDescent="0.2">
      <c r="A411" s="59">
        <f t="shared" si="92"/>
        <v>67</v>
      </c>
      <c r="B411" s="420" t="str">
        <f t="shared" si="93"/>
        <v/>
      </c>
      <c r="C411" s="220"/>
      <c r="D411" s="220"/>
      <c r="E411" s="220"/>
      <c r="F411" s="220"/>
      <c r="G411" s="221"/>
      <c r="H411" s="220"/>
      <c r="I411" s="220"/>
      <c r="J411" s="220"/>
    </row>
    <row r="412" spans="1:10" x14ac:dyDescent="0.2">
      <c r="A412" s="60">
        <f t="shared" si="92"/>
        <v>67</v>
      </c>
      <c r="B412" s="420" t="str">
        <f t="shared" si="93"/>
        <v/>
      </c>
      <c r="C412" s="222"/>
      <c r="D412" s="222"/>
      <c r="E412" s="222"/>
      <c r="F412" s="222"/>
      <c r="G412" s="223"/>
      <c r="H412" s="222"/>
      <c r="I412" s="222"/>
      <c r="J412" s="222"/>
    </row>
    <row r="413" spans="1:10" x14ac:dyDescent="0.2">
      <c r="A413" s="30">
        <v>67</v>
      </c>
      <c r="B413" s="419" t="str">
        <f>"Total "&amp;A413</f>
        <v>Total 67</v>
      </c>
      <c r="C413" s="31" t="str">
        <f>IF(AND(C406=0,C407=0,C408=0,C409=0,C410=0,C411=0,C412=0),"",SUM(C406:C412))</f>
        <v/>
      </c>
      <c r="D413" s="31" t="str">
        <f>IF(AND(D406=0,D407=0,D408=0,D409=0,D410=0,D411=0,D412=0),"",SUM(D406:D412))</f>
        <v/>
      </c>
      <c r="E413" s="31">
        <f>IF(AND(E406=0,E407=0,E408=0,E409=0,E410=0,E411=0,E412=0),0,SUM(E406:E412))</f>
        <v>0</v>
      </c>
      <c r="F413" s="31">
        <f>IF(AND(F406=0,F407=0,F408=0,F409=0,F410=0,F411=0,F412=0),0,SUM(F406:F412))</f>
        <v>0</v>
      </c>
      <c r="G413" s="32" t="str">
        <f>IF(AND(G406=0,G407=0,G408=0,G409=0,G410=0,G411=0,G412=0),"",AVERAGE(G406:G412))</f>
        <v/>
      </c>
      <c r="H413" s="31">
        <f>IF(AND(H406=0,H407=0,H408=0,H409=0,H410=0,H411=0,H412=0),0,SUM(H406:H412))</f>
        <v>0</v>
      </c>
      <c r="I413" s="31" t="str">
        <f>IF(AND(I406=0,I407=0,I408=0,I409=0,I410=0,I411=0,I412=0),"",SUM(I406:I412))</f>
        <v/>
      </c>
      <c r="J413" s="31">
        <f>IF(AND(J406=0,J407=0,J408=0,J409=0,J410=0,J411=0,J412=0),0,AVERAGE(J406:J412))</f>
        <v>0</v>
      </c>
    </row>
    <row r="414" spans="1:10" x14ac:dyDescent="0.2">
      <c r="A414" s="58">
        <f t="shared" ref="A414:A420" si="94">A406+1</f>
        <v>68</v>
      </c>
      <c r="B414" s="420" t="str">
        <f>IF(B412&lt;&gt;"",B412+1,"")</f>
        <v/>
      </c>
      <c r="C414" s="218"/>
      <c r="D414" s="218"/>
      <c r="E414" s="218"/>
      <c r="F414" s="218"/>
      <c r="G414" s="219"/>
      <c r="H414" s="218"/>
      <c r="I414" s="218"/>
      <c r="J414" s="218"/>
    </row>
    <row r="415" spans="1:10" x14ac:dyDescent="0.2">
      <c r="A415" s="58">
        <f t="shared" si="94"/>
        <v>68</v>
      </c>
      <c r="B415" s="420" t="str">
        <f t="shared" ref="B415:B420" si="95">IF(B414&lt;&gt;"",B414+1,"")</f>
        <v/>
      </c>
      <c r="C415" s="218"/>
      <c r="D415" s="218"/>
      <c r="E415" s="218"/>
      <c r="F415" s="218"/>
      <c r="G415" s="219"/>
      <c r="H415" s="218"/>
      <c r="I415" s="218"/>
      <c r="J415" s="218"/>
    </row>
    <row r="416" spans="1:10" x14ac:dyDescent="0.2">
      <c r="A416" s="58">
        <f t="shared" si="94"/>
        <v>68</v>
      </c>
      <c r="B416" s="420" t="str">
        <f t="shared" si="95"/>
        <v/>
      </c>
      <c r="C416" s="218"/>
      <c r="D416" s="218"/>
      <c r="E416" s="218"/>
      <c r="F416" s="218"/>
      <c r="G416" s="219"/>
      <c r="H416" s="218"/>
      <c r="I416" s="218"/>
      <c r="J416" s="218"/>
    </row>
    <row r="417" spans="1:10" x14ac:dyDescent="0.2">
      <c r="A417" s="59">
        <f t="shared" si="94"/>
        <v>68</v>
      </c>
      <c r="B417" s="420" t="str">
        <f t="shared" si="95"/>
        <v/>
      </c>
      <c r="C417" s="220"/>
      <c r="D417" s="220"/>
      <c r="E417" s="220"/>
      <c r="F417" s="220"/>
      <c r="G417" s="221"/>
      <c r="H417" s="220"/>
      <c r="I417" s="220"/>
      <c r="J417" s="220"/>
    </row>
    <row r="418" spans="1:10" x14ac:dyDescent="0.2">
      <c r="A418" s="59">
        <f t="shared" si="94"/>
        <v>68</v>
      </c>
      <c r="B418" s="420" t="str">
        <f t="shared" si="95"/>
        <v/>
      </c>
      <c r="C418" s="220"/>
      <c r="D418" s="220"/>
      <c r="E418" s="220"/>
      <c r="F418" s="220"/>
      <c r="G418" s="221"/>
      <c r="H418" s="220"/>
      <c r="I418" s="220"/>
      <c r="J418" s="220"/>
    </row>
    <row r="419" spans="1:10" x14ac:dyDescent="0.2">
      <c r="A419" s="59">
        <f t="shared" si="94"/>
        <v>68</v>
      </c>
      <c r="B419" s="420" t="str">
        <f t="shared" si="95"/>
        <v/>
      </c>
      <c r="C419" s="220"/>
      <c r="D419" s="220"/>
      <c r="E419" s="220"/>
      <c r="F419" s="220"/>
      <c r="G419" s="221"/>
      <c r="H419" s="220"/>
      <c r="I419" s="220"/>
      <c r="J419" s="220"/>
    </row>
    <row r="420" spans="1:10" x14ac:dyDescent="0.2">
      <c r="A420" s="60">
        <f t="shared" si="94"/>
        <v>68</v>
      </c>
      <c r="B420" s="420" t="str">
        <f t="shared" si="95"/>
        <v/>
      </c>
      <c r="C420" s="222"/>
      <c r="D420" s="222"/>
      <c r="E420" s="222"/>
      <c r="F420" s="222"/>
      <c r="G420" s="223"/>
      <c r="H420" s="222"/>
      <c r="I420" s="222"/>
      <c r="J420" s="222"/>
    </row>
    <row r="421" spans="1:10" x14ac:dyDescent="0.2">
      <c r="A421" s="30">
        <v>68</v>
      </c>
      <c r="B421" s="419" t="str">
        <f>"Total "&amp;A421</f>
        <v>Total 68</v>
      </c>
      <c r="C421" s="31" t="str">
        <f>IF(AND(C414=0,C415=0,C416=0,C417=0,C418=0,C419=0,C420=0),"",SUM(C414:C420))</f>
        <v/>
      </c>
      <c r="D421" s="31" t="str">
        <f>IF(AND(D414=0,D415=0,D416=0,D417=0,D418=0,D419=0,D420=0),"",SUM(D414:D420))</f>
        <v/>
      </c>
      <c r="E421" s="31">
        <f>IF(AND(E414=0,E415=0,E416=0,E417=0,E418=0,E419=0,E420=0),0,SUM(E414:E420))</f>
        <v>0</v>
      </c>
      <c r="F421" s="31">
        <f>IF(AND(F414=0,F415=0,F416=0,F417=0,F418=0,F419=0,F420=0),0,SUM(F414:F420))</f>
        <v>0</v>
      </c>
      <c r="G421" s="32" t="str">
        <f>IF(AND(G414=0,G415=0,G416=0,G417=0,G418=0,G419=0,G420=0),"",AVERAGE(G414:G420))</f>
        <v/>
      </c>
      <c r="H421" s="31">
        <f>IF(AND(H414=0,H415=0,H416=0,H417=0,H418=0,H419=0,H420=0),0,SUM(H414:H420))</f>
        <v>0</v>
      </c>
      <c r="I421" s="31" t="str">
        <f>IF(AND(I414=0,I415=0,I416=0,I417=0,I418=0,I419=0,I420=0),"",SUM(I414:I420))</f>
        <v/>
      </c>
      <c r="J421" s="31">
        <f>IF(AND(J414=0,J415=0,J416=0,J417=0,J418=0,J419=0,J420=0),0,AVERAGE(J414:J420))</f>
        <v>0</v>
      </c>
    </row>
    <row r="422" spans="1:10" x14ac:dyDescent="0.2">
      <c r="A422" s="58">
        <f t="shared" ref="A422:A428" si="96">A414+1</f>
        <v>69</v>
      </c>
      <c r="B422" s="420" t="str">
        <f>IF(B420&lt;&gt;"",B420+1,"")</f>
        <v/>
      </c>
      <c r="C422" s="218"/>
      <c r="D422" s="218"/>
      <c r="E422" s="218"/>
      <c r="F422" s="218"/>
      <c r="G422" s="219"/>
      <c r="H422" s="218"/>
      <c r="I422" s="218"/>
      <c r="J422" s="218"/>
    </row>
    <row r="423" spans="1:10" x14ac:dyDescent="0.2">
      <c r="A423" s="58">
        <f t="shared" si="96"/>
        <v>69</v>
      </c>
      <c r="B423" s="420" t="str">
        <f t="shared" ref="B423:B428" si="97">IF(B422&lt;&gt;"",B422+1,"")</f>
        <v/>
      </c>
      <c r="C423" s="218"/>
      <c r="D423" s="218"/>
      <c r="E423" s="218"/>
      <c r="F423" s="218"/>
      <c r="G423" s="219"/>
      <c r="H423" s="218"/>
      <c r="I423" s="218"/>
      <c r="J423" s="218"/>
    </row>
    <row r="424" spans="1:10" x14ac:dyDescent="0.2">
      <c r="A424" s="58">
        <f t="shared" si="96"/>
        <v>69</v>
      </c>
      <c r="B424" s="420" t="str">
        <f t="shared" si="97"/>
        <v/>
      </c>
      <c r="C424" s="218"/>
      <c r="D424" s="218"/>
      <c r="E424" s="218"/>
      <c r="F424" s="218"/>
      <c r="G424" s="219"/>
      <c r="H424" s="218"/>
      <c r="I424" s="218"/>
      <c r="J424" s="218"/>
    </row>
    <row r="425" spans="1:10" x14ac:dyDescent="0.2">
      <c r="A425" s="59">
        <f t="shared" si="96"/>
        <v>69</v>
      </c>
      <c r="B425" s="420" t="str">
        <f t="shared" si="97"/>
        <v/>
      </c>
      <c r="C425" s="220"/>
      <c r="D425" s="220"/>
      <c r="E425" s="220"/>
      <c r="F425" s="220"/>
      <c r="G425" s="221"/>
      <c r="H425" s="220"/>
      <c r="I425" s="220"/>
      <c r="J425" s="220"/>
    </row>
    <row r="426" spans="1:10" x14ac:dyDescent="0.2">
      <c r="A426" s="59">
        <f t="shared" si="96"/>
        <v>69</v>
      </c>
      <c r="B426" s="420" t="str">
        <f t="shared" si="97"/>
        <v/>
      </c>
      <c r="C426" s="220"/>
      <c r="D426" s="220"/>
      <c r="E426" s="220"/>
      <c r="F426" s="220"/>
      <c r="G426" s="221"/>
      <c r="H426" s="220"/>
      <c r="I426" s="220"/>
      <c r="J426" s="220"/>
    </row>
    <row r="427" spans="1:10" x14ac:dyDescent="0.2">
      <c r="A427" s="59">
        <f t="shared" si="96"/>
        <v>69</v>
      </c>
      <c r="B427" s="420" t="str">
        <f t="shared" si="97"/>
        <v/>
      </c>
      <c r="C427" s="220"/>
      <c r="D427" s="220"/>
      <c r="E427" s="220"/>
      <c r="F427" s="220"/>
      <c r="G427" s="221"/>
      <c r="H427" s="220"/>
      <c r="I427" s="220"/>
      <c r="J427" s="220"/>
    </row>
    <row r="428" spans="1:10" x14ac:dyDescent="0.2">
      <c r="A428" s="60">
        <f t="shared" si="96"/>
        <v>69</v>
      </c>
      <c r="B428" s="420" t="str">
        <f t="shared" si="97"/>
        <v/>
      </c>
      <c r="C428" s="222"/>
      <c r="D428" s="222"/>
      <c r="E428" s="222"/>
      <c r="F428" s="222"/>
      <c r="G428" s="223"/>
      <c r="H428" s="222"/>
      <c r="I428" s="222"/>
      <c r="J428" s="222"/>
    </row>
    <row r="429" spans="1:10" x14ac:dyDescent="0.2">
      <c r="A429" s="30">
        <v>69</v>
      </c>
      <c r="B429" s="419" t="str">
        <f>"Total "&amp;A429</f>
        <v>Total 69</v>
      </c>
      <c r="C429" s="31" t="str">
        <f>IF(AND(C422=0,C423=0,C424=0,C425=0,C426=0,C427=0,C428=0),"",SUM(C422:C428))</f>
        <v/>
      </c>
      <c r="D429" s="31" t="str">
        <f>IF(AND(D422=0,D423=0,D424=0,D425=0,D426=0,D427=0,D428=0),"",SUM(D422:D428))</f>
        <v/>
      </c>
      <c r="E429" s="31">
        <f>IF(AND(E422=0,E423=0,E424=0,E425=0,E426=0,E427=0,E428=0),0,SUM(E422:E428))</f>
        <v>0</v>
      </c>
      <c r="F429" s="31">
        <f>IF(AND(F422=0,F423=0,F424=0,F425=0,F426=0,F427=0,F428=0),0,SUM(F422:F428))</f>
        <v>0</v>
      </c>
      <c r="G429" s="32" t="str">
        <f>IF(AND(G422=0,G423=0,G424=0,G425=0,G426=0,G427=0,G428=0),"",AVERAGE(G422:G428))</f>
        <v/>
      </c>
      <c r="H429" s="31">
        <f>IF(AND(H422=0,H423=0,H424=0,H425=0,H426=0,H427=0,H428=0),0,SUM(H422:H428))</f>
        <v>0</v>
      </c>
      <c r="I429" s="31" t="str">
        <f>IF(AND(I422=0,I423=0,I424=0,I425=0,I426=0,I427=0,I428=0),"",SUM(I422:I428))</f>
        <v/>
      </c>
      <c r="J429" s="31">
        <f>IF(AND(J422=0,J423=0,J424=0,J425=0,J426=0,J427=0,J428=0),0,AVERAGE(J422:J428))</f>
        <v>0</v>
      </c>
    </row>
    <row r="430" spans="1:10" x14ac:dyDescent="0.2">
      <c r="A430" s="58">
        <f t="shared" ref="A430:A436" si="98">A422+1</f>
        <v>70</v>
      </c>
      <c r="B430" s="420" t="str">
        <f>IF(B428&lt;&gt;"",B428+1,"")</f>
        <v/>
      </c>
      <c r="C430" s="218"/>
      <c r="D430" s="218"/>
      <c r="E430" s="218"/>
      <c r="F430" s="218"/>
      <c r="G430" s="219"/>
      <c r="H430" s="218"/>
      <c r="I430" s="218"/>
      <c r="J430" s="218"/>
    </row>
    <row r="431" spans="1:10" x14ac:dyDescent="0.2">
      <c r="A431" s="58">
        <f t="shared" si="98"/>
        <v>70</v>
      </c>
      <c r="B431" s="420" t="str">
        <f t="shared" ref="B431:B436" si="99">IF(B430&lt;&gt;"",B430+1,"")</f>
        <v/>
      </c>
      <c r="C431" s="218"/>
      <c r="D431" s="218"/>
      <c r="E431" s="218"/>
      <c r="F431" s="218"/>
      <c r="G431" s="219"/>
      <c r="H431" s="218"/>
      <c r="I431" s="218"/>
      <c r="J431" s="218"/>
    </row>
    <row r="432" spans="1:10" x14ac:dyDescent="0.2">
      <c r="A432" s="58">
        <f t="shared" si="98"/>
        <v>70</v>
      </c>
      <c r="B432" s="420" t="str">
        <f t="shared" si="99"/>
        <v/>
      </c>
      <c r="C432" s="218"/>
      <c r="D432" s="218"/>
      <c r="E432" s="218"/>
      <c r="F432" s="218"/>
      <c r="G432" s="219"/>
      <c r="H432" s="218"/>
      <c r="I432" s="218"/>
      <c r="J432" s="218"/>
    </row>
    <row r="433" spans="1:10" x14ac:dyDescent="0.2">
      <c r="A433" s="59">
        <f t="shared" si="98"/>
        <v>70</v>
      </c>
      <c r="B433" s="420" t="str">
        <f t="shared" si="99"/>
        <v/>
      </c>
      <c r="C433" s="220"/>
      <c r="D433" s="220"/>
      <c r="E433" s="220"/>
      <c r="F433" s="220"/>
      <c r="G433" s="221"/>
      <c r="H433" s="220"/>
      <c r="I433" s="220"/>
      <c r="J433" s="220"/>
    </row>
    <row r="434" spans="1:10" x14ac:dyDescent="0.2">
      <c r="A434" s="59">
        <f t="shared" si="98"/>
        <v>70</v>
      </c>
      <c r="B434" s="420" t="str">
        <f t="shared" si="99"/>
        <v/>
      </c>
      <c r="C434" s="220"/>
      <c r="D434" s="220"/>
      <c r="E434" s="220"/>
      <c r="F434" s="220"/>
      <c r="G434" s="221"/>
      <c r="H434" s="220"/>
      <c r="I434" s="220"/>
      <c r="J434" s="220"/>
    </row>
    <row r="435" spans="1:10" x14ac:dyDescent="0.2">
      <c r="A435" s="59">
        <f t="shared" si="98"/>
        <v>70</v>
      </c>
      <c r="B435" s="420" t="str">
        <f t="shared" si="99"/>
        <v/>
      </c>
      <c r="C435" s="220"/>
      <c r="D435" s="220"/>
      <c r="E435" s="220"/>
      <c r="F435" s="220"/>
      <c r="G435" s="221"/>
      <c r="H435" s="220"/>
      <c r="I435" s="220"/>
      <c r="J435" s="220"/>
    </row>
    <row r="436" spans="1:10" x14ac:dyDescent="0.2">
      <c r="A436" s="60">
        <f t="shared" si="98"/>
        <v>70</v>
      </c>
      <c r="B436" s="420" t="str">
        <f t="shared" si="99"/>
        <v/>
      </c>
      <c r="C436" s="222"/>
      <c r="D436" s="222"/>
      <c r="E436" s="222"/>
      <c r="F436" s="222"/>
      <c r="G436" s="223"/>
      <c r="H436" s="222"/>
      <c r="I436" s="222"/>
      <c r="J436" s="222"/>
    </row>
    <row r="437" spans="1:10" x14ac:dyDescent="0.2">
      <c r="A437" s="30">
        <v>70</v>
      </c>
      <c r="B437" s="419" t="str">
        <f>"Total "&amp;A437</f>
        <v>Total 70</v>
      </c>
      <c r="C437" s="31" t="str">
        <f>IF(AND(C430=0,C431=0,C432=0,C433=0,C434=0,C435=0,C436=0),"",SUM(C430:C436))</f>
        <v/>
      </c>
      <c r="D437" s="31" t="str">
        <f>IF(AND(D430=0,D431=0,D432=0,D433=0,D434=0,D435=0,D436=0),"",SUM(D430:D436))</f>
        <v/>
      </c>
      <c r="E437" s="31">
        <f>IF(AND(E430=0,E431=0,E432=0,E433=0,E434=0,E435=0,E436=0),0,SUM(E430:E436))</f>
        <v>0</v>
      </c>
      <c r="F437" s="31">
        <f>IF(AND(F430=0,F431=0,F432=0,F433=0,F434=0,F435=0,F436=0),0,SUM(F430:F436))</f>
        <v>0</v>
      </c>
      <c r="G437" s="32" t="str">
        <f>IF(AND(G430=0,G431=0,G432=0,G433=0,G434=0,G435=0,G436=0),"",AVERAGE(G430:G436))</f>
        <v/>
      </c>
      <c r="H437" s="31">
        <f>IF(AND(H430=0,H431=0,H432=0,H433=0,H434=0,H435=0,H436=0),0,SUM(H430:H436))</f>
        <v>0</v>
      </c>
      <c r="I437" s="31" t="str">
        <f>IF(AND(I430=0,I431=0,I432=0,I433=0,I434=0,I435=0,I436=0),"",SUM(I430:I436))</f>
        <v/>
      </c>
      <c r="J437" s="31">
        <f>IF(AND(J430=0,J431=0,J432=0,J433=0,J434=0,J435=0,J436=0),0,AVERAGE(J430:J436))</f>
        <v>0</v>
      </c>
    </row>
    <row r="438" spans="1:10" x14ac:dyDescent="0.2">
      <c r="A438" s="58">
        <f t="shared" ref="A438:A444" si="100">A430+1</f>
        <v>71</v>
      </c>
      <c r="B438" s="420" t="str">
        <f>IF(B436&lt;&gt;"",B436+1,"")</f>
        <v/>
      </c>
      <c r="C438" s="218"/>
      <c r="D438" s="218"/>
      <c r="E438" s="218"/>
      <c r="F438" s="218"/>
      <c r="G438" s="219"/>
      <c r="H438" s="218"/>
      <c r="I438" s="218"/>
      <c r="J438" s="218"/>
    </row>
    <row r="439" spans="1:10" x14ac:dyDescent="0.2">
      <c r="A439" s="58">
        <f t="shared" si="100"/>
        <v>71</v>
      </c>
      <c r="B439" s="420" t="str">
        <f t="shared" ref="B439:B444" si="101">IF(B438&lt;&gt;"",B438+1,"")</f>
        <v/>
      </c>
      <c r="C439" s="218"/>
      <c r="D439" s="218"/>
      <c r="E439" s="218"/>
      <c r="F439" s="218"/>
      <c r="G439" s="219"/>
      <c r="H439" s="218"/>
      <c r="I439" s="218"/>
      <c r="J439" s="218"/>
    </row>
    <row r="440" spans="1:10" x14ac:dyDescent="0.2">
      <c r="A440" s="58">
        <f t="shared" si="100"/>
        <v>71</v>
      </c>
      <c r="B440" s="420" t="str">
        <f t="shared" si="101"/>
        <v/>
      </c>
      <c r="C440" s="218"/>
      <c r="D440" s="218"/>
      <c r="E440" s="218"/>
      <c r="F440" s="218"/>
      <c r="G440" s="219"/>
      <c r="H440" s="218"/>
      <c r="I440" s="218"/>
      <c r="J440" s="218"/>
    </row>
    <row r="441" spans="1:10" x14ac:dyDescent="0.2">
      <c r="A441" s="59">
        <f t="shared" si="100"/>
        <v>71</v>
      </c>
      <c r="B441" s="420" t="str">
        <f t="shared" si="101"/>
        <v/>
      </c>
      <c r="C441" s="220"/>
      <c r="D441" s="220"/>
      <c r="E441" s="220"/>
      <c r="F441" s="220"/>
      <c r="G441" s="221"/>
      <c r="H441" s="220"/>
      <c r="I441" s="220"/>
      <c r="J441" s="220"/>
    </row>
    <row r="442" spans="1:10" x14ac:dyDescent="0.2">
      <c r="A442" s="59">
        <f t="shared" si="100"/>
        <v>71</v>
      </c>
      <c r="B442" s="420" t="str">
        <f t="shared" si="101"/>
        <v/>
      </c>
      <c r="C442" s="220"/>
      <c r="D442" s="220"/>
      <c r="E442" s="220"/>
      <c r="F442" s="220"/>
      <c r="G442" s="221"/>
      <c r="H442" s="220"/>
      <c r="I442" s="220"/>
      <c r="J442" s="220"/>
    </row>
    <row r="443" spans="1:10" x14ac:dyDescent="0.2">
      <c r="A443" s="59">
        <f t="shared" si="100"/>
        <v>71</v>
      </c>
      <c r="B443" s="420" t="str">
        <f t="shared" si="101"/>
        <v/>
      </c>
      <c r="C443" s="220"/>
      <c r="D443" s="220"/>
      <c r="E443" s="220"/>
      <c r="F443" s="220"/>
      <c r="G443" s="221"/>
      <c r="H443" s="220"/>
      <c r="I443" s="220"/>
      <c r="J443" s="220"/>
    </row>
    <row r="444" spans="1:10" x14ac:dyDescent="0.2">
      <c r="A444" s="60">
        <f t="shared" si="100"/>
        <v>71</v>
      </c>
      <c r="B444" s="420" t="str">
        <f t="shared" si="101"/>
        <v/>
      </c>
      <c r="C444" s="222"/>
      <c r="D444" s="222"/>
      <c r="E444" s="222"/>
      <c r="F444" s="222"/>
      <c r="G444" s="223"/>
      <c r="H444" s="222"/>
      <c r="I444" s="222"/>
      <c r="J444" s="222"/>
    </row>
    <row r="445" spans="1:10" x14ac:dyDescent="0.2">
      <c r="A445" s="30">
        <v>71</v>
      </c>
      <c r="B445" s="419" t="str">
        <f>"Total "&amp;A445</f>
        <v>Total 71</v>
      </c>
      <c r="C445" s="31" t="str">
        <f>IF(AND(C438=0,C439=0,C440=0,C441=0,C442=0,C443=0,C444=0),"",SUM(C438:C444))</f>
        <v/>
      </c>
      <c r="D445" s="31" t="str">
        <f>IF(AND(D438=0,D439=0,D440=0,D441=0,D442=0,D443=0,D444=0),"",SUM(D438:D444))</f>
        <v/>
      </c>
      <c r="E445" s="31">
        <f>IF(AND(E438=0,E439=0,E440=0,E441=0,E442=0,E443=0,E444=0),0,SUM(E438:E444))</f>
        <v>0</v>
      </c>
      <c r="F445" s="31">
        <f>IF(AND(F438=0,F439=0,F440=0,F441=0,F442=0,F443=0,F444=0),0,SUM(F438:F444))</f>
        <v>0</v>
      </c>
      <c r="G445" s="32" t="str">
        <f>IF(AND(G438=0,G439=0,G440=0,G441=0,G442=0,G443=0,G444=0),"",AVERAGE(G438:G444))</f>
        <v/>
      </c>
      <c r="H445" s="31">
        <f>IF(AND(H438=0,H439=0,H440=0,H441=0,H442=0,H443=0,H444=0),0,SUM(H438:H444))</f>
        <v>0</v>
      </c>
      <c r="I445" s="31" t="str">
        <f>IF(AND(I438=0,I439=0,I440=0,I441=0,I442=0,I443=0,I444=0),"",SUM(I438:I444))</f>
        <v/>
      </c>
      <c r="J445" s="31">
        <f>IF(AND(J438=0,J439=0,J440=0,J441=0,J442=0,J443=0,J444=0),0,AVERAGE(J438:J444))</f>
        <v>0</v>
      </c>
    </row>
    <row r="446" spans="1:10" x14ac:dyDescent="0.2">
      <c r="A446" s="58">
        <f t="shared" ref="A446:A452" si="102">A438+1</f>
        <v>72</v>
      </c>
      <c r="B446" s="420" t="str">
        <f>IF(B444&lt;&gt;"",B444+1,"")</f>
        <v/>
      </c>
      <c r="C446" s="218"/>
      <c r="D446" s="218"/>
      <c r="E446" s="218"/>
      <c r="F446" s="218"/>
      <c r="G446" s="219"/>
      <c r="H446" s="218"/>
      <c r="I446" s="218"/>
      <c r="J446" s="218"/>
    </row>
    <row r="447" spans="1:10" x14ac:dyDescent="0.2">
      <c r="A447" s="58">
        <f t="shared" si="102"/>
        <v>72</v>
      </c>
      <c r="B447" s="420" t="str">
        <f t="shared" ref="B447:B452" si="103">IF(B446&lt;&gt;"",B446+1,"")</f>
        <v/>
      </c>
      <c r="C447" s="218"/>
      <c r="D447" s="218"/>
      <c r="E447" s="218"/>
      <c r="F447" s="218"/>
      <c r="G447" s="219"/>
      <c r="H447" s="218"/>
      <c r="I447" s="218"/>
      <c r="J447" s="218"/>
    </row>
    <row r="448" spans="1:10" x14ac:dyDescent="0.2">
      <c r="A448" s="58">
        <f t="shared" si="102"/>
        <v>72</v>
      </c>
      <c r="B448" s="420" t="str">
        <f t="shared" si="103"/>
        <v/>
      </c>
      <c r="C448" s="218"/>
      <c r="D448" s="218"/>
      <c r="E448" s="218"/>
      <c r="F448" s="218"/>
      <c r="G448" s="219"/>
      <c r="H448" s="218"/>
      <c r="I448" s="218"/>
      <c r="J448" s="218"/>
    </row>
    <row r="449" spans="1:10" x14ac:dyDescent="0.2">
      <c r="A449" s="59">
        <f t="shared" si="102"/>
        <v>72</v>
      </c>
      <c r="B449" s="420" t="str">
        <f t="shared" si="103"/>
        <v/>
      </c>
      <c r="C449" s="220"/>
      <c r="D449" s="220"/>
      <c r="E449" s="220"/>
      <c r="F449" s="220"/>
      <c r="G449" s="221"/>
      <c r="H449" s="220"/>
      <c r="I449" s="220"/>
      <c r="J449" s="220"/>
    </row>
    <row r="450" spans="1:10" x14ac:dyDescent="0.2">
      <c r="A450" s="59">
        <f t="shared" si="102"/>
        <v>72</v>
      </c>
      <c r="B450" s="420" t="str">
        <f t="shared" si="103"/>
        <v/>
      </c>
      <c r="C450" s="220"/>
      <c r="D450" s="220"/>
      <c r="E450" s="220"/>
      <c r="F450" s="220"/>
      <c r="G450" s="221"/>
      <c r="H450" s="220"/>
      <c r="I450" s="220"/>
      <c r="J450" s="220"/>
    </row>
    <row r="451" spans="1:10" x14ac:dyDescent="0.2">
      <c r="A451" s="59">
        <f t="shared" si="102"/>
        <v>72</v>
      </c>
      <c r="B451" s="420" t="str">
        <f t="shared" si="103"/>
        <v/>
      </c>
      <c r="C451" s="220"/>
      <c r="D451" s="220"/>
      <c r="E451" s="220"/>
      <c r="F451" s="220"/>
      <c r="G451" s="221"/>
      <c r="H451" s="220"/>
      <c r="I451" s="220"/>
      <c r="J451" s="220"/>
    </row>
    <row r="452" spans="1:10" x14ac:dyDescent="0.2">
      <c r="A452" s="60">
        <f t="shared" si="102"/>
        <v>72</v>
      </c>
      <c r="B452" s="420" t="str">
        <f t="shared" si="103"/>
        <v/>
      </c>
      <c r="C452" s="222"/>
      <c r="D452" s="222"/>
      <c r="E452" s="222"/>
      <c r="F452" s="222"/>
      <c r="G452" s="223"/>
      <c r="H452" s="222"/>
      <c r="I452" s="222"/>
      <c r="J452" s="222"/>
    </row>
    <row r="453" spans="1:10" x14ac:dyDescent="0.2">
      <c r="A453" s="30">
        <v>72</v>
      </c>
      <c r="B453" s="419" t="str">
        <f>"Total "&amp;A453</f>
        <v>Total 72</v>
      </c>
      <c r="C453" s="31" t="str">
        <f>IF(AND(C446=0,C447=0,C448=0,C449=0,C450=0,C451=0,C452=0),"",SUM(C446:C452))</f>
        <v/>
      </c>
      <c r="D453" s="31" t="str">
        <f>IF(AND(D446=0,D447=0,D448=0,D449=0,D450=0,D451=0,D452=0),"",SUM(D446:D452))</f>
        <v/>
      </c>
      <c r="E453" s="31">
        <f>IF(AND(E446=0,E447=0,E448=0,E449=0,E450=0,E451=0,E452=0),0,SUM(E446:E452))</f>
        <v>0</v>
      </c>
      <c r="F453" s="31">
        <f>IF(AND(F446=0,F447=0,F448=0,F449=0,F450=0,F451=0,F452=0),0,SUM(F446:F452))</f>
        <v>0</v>
      </c>
      <c r="G453" s="32" t="str">
        <f>IF(AND(G446=0,G447=0,G448=0,G449=0,G450=0,G451=0,G452=0),"",AVERAGE(G446:G452))</f>
        <v/>
      </c>
      <c r="H453" s="31">
        <f>IF(AND(H446=0,H447=0,H448=0,H449=0,H450=0,H451=0,H452=0),0,SUM(H446:H452))</f>
        <v>0</v>
      </c>
      <c r="I453" s="31" t="str">
        <f>IF(AND(I446=0,I447=0,I448=0,I449=0,I450=0,I451=0,I452=0),"",SUM(I446:I452))</f>
        <v/>
      </c>
      <c r="J453" s="31">
        <f>IF(AND(J446=0,J447=0,J448=0,J449=0,J450=0,J451=0,J452=0),0,AVERAGE(J446:J452))</f>
        <v>0</v>
      </c>
    </row>
    <row r="454" spans="1:10" x14ac:dyDescent="0.2">
      <c r="A454" s="58">
        <f t="shared" ref="A454:A460" si="104">A446+1</f>
        <v>73</v>
      </c>
      <c r="B454" s="420" t="str">
        <f>IF(B452&lt;&gt;"",B452+1,"")</f>
        <v/>
      </c>
      <c r="C454" s="218"/>
      <c r="D454" s="218"/>
      <c r="E454" s="218"/>
      <c r="F454" s="218"/>
      <c r="G454" s="219"/>
      <c r="H454" s="218"/>
      <c r="I454" s="218"/>
      <c r="J454" s="218"/>
    </row>
    <row r="455" spans="1:10" x14ac:dyDescent="0.2">
      <c r="A455" s="58">
        <f t="shared" si="104"/>
        <v>73</v>
      </c>
      <c r="B455" s="420" t="str">
        <f t="shared" ref="B455:B460" si="105">IF(B454&lt;&gt;"",B454+1,"")</f>
        <v/>
      </c>
      <c r="C455" s="218"/>
      <c r="D455" s="218"/>
      <c r="E455" s="218"/>
      <c r="F455" s="218"/>
      <c r="G455" s="219"/>
      <c r="H455" s="218"/>
      <c r="I455" s="218"/>
      <c r="J455" s="218"/>
    </row>
    <row r="456" spans="1:10" x14ac:dyDescent="0.2">
      <c r="A456" s="58">
        <f t="shared" si="104"/>
        <v>73</v>
      </c>
      <c r="B456" s="420" t="str">
        <f t="shared" si="105"/>
        <v/>
      </c>
      <c r="C456" s="218"/>
      <c r="D456" s="218"/>
      <c r="E456" s="218"/>
      <c r="F456" s="218"/>
      <c r="G456" s="219"/>
      <c r="H456" s="218"/>
      <c r="I456" s="218"/>
      <c r="J456" s="218"/>
    </row>
    <row r="457" spans="1:10" x14ac:dyDescent="0.2">
      <c r="A457" s="59">
        <f t="shared" si="104"/>
        <v>73</v>
      </c>
      <c r="B457" s="420" t="str">
        <f t="shared" si="105"/>
        <v/>
      </c>
      <c r="C457" s="220"/>
      <c r="D457" s="220"/>
      <c r="E457" s="220"/>
      <c r="F457" s="220"/>
      <c r="G457" s="221"/>
      <c r="H457" s="220"/>
      <c r="I457" s="220"/>
      <c r="J457" s="220"/>
    </row>
    <row r="458" spans="1:10" x14ac:dyDescent="0.2">
      <c r="A458" s="59">
        <f t="shared" si="104"/>
        <v>73</v>
      </c>
      <c r="B458" s="420" t="str">
        <f t="shared" si="105"/>
        <v/>
      </c>
      <c r="C458" s="220"/>
      <c r="D458" s="220"/>
      <c r="E458" s="220"/>
      <c r="F458" s="220"/>
      <c r="G458" s="221"/>
      <c r="H458" s="220"/>
      <c r="I458" s="220"/>
      <c r="J458" s="220"/>
    </row>
    <row r="459" spans="1:10" x14ac:dyDescent="0.2">
      <c r="A459" s="59">
        <f t="shared" si="104"/>
        <v>73</v>
      </c>
      <c r="B459" s="420" t="str">
        <f t="shared" si="105"/>
        <v/>
      </c>
      <c r="C459" s="220"/>
      <c r="D459" s="220"/>
      <c r="E459" s="220"/>
      <c r="F459" s="220"/>
      <c r="G459" s="221"/>
      <c r="H459" s="220"/>
      <c r="I459" s="220"/>
      <c r="J459" s="220"/>
    </row>
    <row r="460" spans="1:10" x14ac:dyDescent="0.2">
      <c r="A460" s="60">
        <f t="shared" si="104"/>
        <v>73</v>
      </c>
      <c r="B460" s="420" t="str">
        <f t="shared" si="105"/>
        <v/>
      </c>
      <c r="C460" s="222"/>
      <c r="D460" s="222"/>
      <c r="E460" s="222"/>
      <c r="F460" s="222"/>
      <c r="G460" s="223"/>
      <c r="H460" s="222"/>
      <c r="I460" s="222"/>
      <c r="J460" s="222"/>
    </row>
    <row r="461" spans="1:10" x14ac:dyDescent="0.2">
      <c r="A461" s="30">
        <v>73</v>
      </c>
      <c r="B461" s="419" t="str">
        <f>"Total "&amp;A461</f>
        <v>Total 73</v>
      </c>
      <c r="C461" s="31" t="str">
        <f>IF(AND(C454=0,C455=0,C456=0,C457=0,C458=0,C459=0,C460=0),"",SUM(C454:C460))</f>
        <v/>
      </c>
      <c r="D461" s="31" t="str">
        <f>IF(AND(D454=0,D455=0,D456=0,D457=0,D458=0,D459=0,D460=0),"",SUM(D454:D460))</f>
        <v/>
      </c>
      <c r="E461" s="31">
        <f>IF(AND(E454=0,E455=0,E456=0,E457=0,E458=0,E459=0,E460=0),0,SUM(E454:E460))</f>
        <v>0</v>
      </c>
      <c r="F461" s="31">
        <f>IF(AND(F454=0,F455=0,F456=0,F457=0,F458=0,F459=0,F460=0),0,SUM(F454:F460))</f>
        <v>0</v>
      </c>
      <c r="G461" s="32" t="str">
        <f>IF(AND(G454=0,G455=0,G456=0,G457=0,G458=0,G459=0,G460=0),"",AVERAGE(G454:G460))</f>
        <v/>
      </c>
      <c r="H461" s="31">
        <f>IF(AND(H454=0,H455=0,H456=0,H457=0,H458=0,H459=0,H460=0),0,SUM(H454:H460))</f>
        <v>0</v>
      </c>
      <c r="I461" s="31" t="str">
        <f>IF(AND(I454=0,I455=0,I456=0,I457=0,I458=0,I459=0,I460=0),"",SUM(I454:I460))</f>
        <v/>
      </c>
      <c r="J461" s="31">
        <f>IF(AND(J454=0,J455=0,J456=0,J457=0,J458=0,J459=0,J460=0),0,AVERAGE(J454:J460))</f>
        <v>0</v>
      </c>
    </row>
    <row r="462" spans="1:10" x14ac:dyDescent="0.2">
      <c r="A462" s="58">
        <f t="shared" ref="A462:A468" si="106">A454+1</f>
        <v>74</v>
      </c>
      <c r="B462" s="420" t="str">
        <f>IF(B460&lt;&gt;"",B460+1,"")</f>
        <v/>
      </c>
      <c r="C462" s="218"/>
      <c r="D462" s="218"/>
      <c r="E462" s="218"/>
      <c r="F462" s="218"/>
      <c r="G462" s="219"/>
      <c r="H462" s="218"/>
      <c r="I462" s="218"/>
      <c r="J462" s="218"/>
    </row>
    <row r="463" spans="1:10" x14ac:dyDescent="0.2">
      <c r="A463" s="58">
        <f t="shared" si="106"/>
        <v>74</v>
      </c>
      <c r="B463" s="420" t="str">
        <f t="shared" ref="B463:B468" si="107">IF(B462&lt;&gt;"",B462+1,"")</f>
        <v/>
      </c>
      <c r="C463" s="218"/>
      <c r="D463" s="218"/>
      <c r="E463" s="218"/>
      <c r="F463" s="218"/>
      <c r="G463" s="219"/>
      <c r="H463" s="218"/>
      <c r="I463" s="218"/>
      <c r="J463" s="218"/>
    </row>
    <row r="464" spans="1:10" x14ac:dyDescent="0.2">
      <c r="A464" s="58">
        <f t="shared" si="106"/>
        <v>74</v>
      </c>
      <c r="B464" s="420" t="str">
        <f t="shared" si="107"/>
        <v/>
      </c>
      <c r="C464" s="218"/>
      <c r="D464" s="218"/>
      <c r="E464" s="218"/>
      <c r="F464" s="218"/>
      <c r="G464" s="219"/>
      <c r="H464" s="218"/>
      <c r="I464" s="218"/>
      <c r="J464" s="218"/>
    </row>
    <row r="465" spans="1:10" x14ac:dyDescent="0.2">
      <c r="A465" s="59">
        <f t="shared" si="106"/>
        <v>74</v>
      </c>
      <c r="B465" s="420" t="str">
        <f t="shared" si="107"/>
        <v/>
      </c>
      <c r="C465" s="220"/>
      <c r="D465" s="220"/>
      <c r="E465" s="220"/>
      <c r="F465" s="220"/>
      <c r="G465" s="221"/>
      <c r="H465" s="220"/>
      <c r="I465" s="220"/>
      <c r="J465" s="220"/>
    </row>
    <row r="466" spans="1:10" x14ac:dyDescent="0.2">
      <c r="A466" s="59">
        <f t="shared" si="106"/>
        <v>74</v>
      </c>
      <c r="B466" s="420" t="str">
        <f t="shared" si="107"/>
        <v/>
      </c>
      <c r="C466" s="220"/>
      <c r="D466" s="220"/>
      <c r="E466" s="220"/>
      <c r="F466" s="220"/>
      <c r="G466" s="221"/>
      <c r="H466" s="220"/>
      <c r="I466" s="220"/>
      <c r="J466" s="220"/>
    </row>
    <row r="467" spans="1:10" x14ac:dyDescent="0.2">
      <c r="A467" s="59">
        <f t="shared" si="106"/>
        <v>74</v>
      </c>
      <c r="B467" s="420" t="str">
        <f t="shared" si="107"/>
        <v/>
      </c>
      <c r="C467" s="220"/>
      <c r="D467" s="220"/>
      <c r="E467" s="220"/>
      <c r="F467" s="220"/>
      <c r="G467" s="221"/>
      <c r="H467" s="220"/>
      <c r="I467" s="220"/>
      <c r="J467" s="220"/>
    </row>
    <row r="468" spans="1:10" x14ac:dyDescent="0.2">
      <c r="A468" s="60">
        <f t="shared" si="106"/>
        <v>74</v>
      </c>
      <c r="B468" s="420" t="str">
        <f t="shared" si="107"/>
        <v/>
      </c>
      <c r="C468" s="222"/>
      <c r="D468" s="222"/>
      <c r="E468" s="222"/>
      <c r="F468" s="222"/>
      <c r="G468" s="223"/>
      <c r="H468" s="222"/>
      <c r="I468" s="222"/>
      <c r="J468" s="222"/>
    </row>
    <row r="469" spans="1:10" x14ac:dyDescent="0.2">
      <c r="A469" s="30">
        <v>74</v>
      </c>
      <c r="B469" s="419" t="str">
        <f>"Total "&amp;A469</f>
        <v>Total 74</v>
      </c>
      <c r="C469" s="31" t="str">
        <f>IF(AND(C462=0,C463=0,C464=0,C465=0,C466=0,C467=0,C468=0),"",SUM(C462:C468))</f>
        <v/>
      </c>
      <c r="D469" s="31" t="str">
        <f>IF(AND(D462=0,D463=0,D464=0,D465=0,D466=0,D467=0,D468=0),"",SUM(D462:D468))</f>
        <v/>
      </c>
      <c r="E469" s="31">
        <f>IF(AND(E462=0,E463=0,E464=0,E465=0,E466=0,E467=0,E468=0),0,SUM(E462:E468))</f>
        <v>0</v>
      </c>
      <c r="F469" s="31">
        <f>IF(AND(F462=0,F463=0,F464=0,F465=0,F466=0,F467=0,F468=0),0,SUM(F462:F468))</f>
        <v>0</v>
      </c>
      <c r="G469" s="32" t="str">
        <f>IF(AND(G462=0,G463=0,G464=0,G465=0,G466=0,G467=0,G468=0),"",AVERAGE(G462:G468))</f>
        <v/>
      </c>
      <c r="H469" s="31">
        <f>IF(AND(H462=0,H463=0,H464=0,H465=0,H466=0,H467=0,H468=0),0,SUM(H462:H468))</f>
        <v>0</v>
      </c>
      <c r="I469" s="31" t="str">
        <f>IF(AND(I462=0,I463=0,I464=0,I465=0,I466=0,I467=0,I468=0),"",SUM(I462:I468))</f>
        <v/>
      </c>
      <c r="J469" s="31">
        <f>IF(AND(J462=0,J463=0,J464=0,J465=0,J466=0,J467=0,J468=0),0,AVERAGE(J462:J468))</f>
        <v>0</v>
      </c>
    </row>
    <row r="470" spans="1:10" x14ac:dyDescent="0.2">
      <c r="A470" s="58">
        <f t="shared" ref="A470:A476" si="108">A462+1</f>
        <v>75</v>
      </c>
      <c r="B470" s="420" t="str">
        <f>IF(B468&lt;&gt;"",B468+1,"")</f>
        <v/>
      </c>
      <c r="C470" s="218"/>
      <c r="D470" s="218"/>
      <c r="E470" s="218"/>
      <c r="F470" s="218"/>
      <c r="G470" s="219"/>
      <c r="H470" s="218"/>
      <c r="I470" s="218"/>
      <c r="J470" s="218"/>
    </row>
    <row r="471" spans="1:10" x14ac:dyDescent="0.2">
      <c r="A471" s="58">
        <f t="shared" si="108"/>
        <v>75</v>
      </c>
      <c r="B471" s="420" t="str">
        <f t="shared" ref="B471:B476" si="109">IF(B470&lt;&gt;"",B470+1,"")</f>
        <v/>
      </c>
      <c r="C471" s="218"/>
      <c r="D471" s="218"/>
      <c r="E471" s="218"/>
      <c r="F471" s="218"/>
      <c r="G471" s="219"/>
      <c r="H471" s="218"/>
      <c r="I471" s="218"/>
      <c r="J471" s="218"/>
    </row>
    <row r="472" spans="1:10" x14ac:dyDescent="0.2">
      <c r="A472" s="58">
        <f t="shared" si="108"/>
        <v>75</v>
      </c>
      <c r="B472" s="420" t="str">
        <f t="shared" si="109"/>
        <v/>
      </c>
      <c r="C472" s="218"/>
      <c r="D472" s="218"/>
      <c r="E472" s="218"/>
      <c r="F472" s="218"/>
      <c r="G472" s="219"/>
      <c r="H472" s="218"/>
      <c r="I472" s="218"/>
      <c r="J472" s="218"/>
    </row>
    <row r="473" spans="1:10" x14ac:dyDescent="0.2">
      <c r="A473" s="59">
        <f t="shared" si="108"/>
        <v>75</v>
      </c>
      <c r="B473" s="420" t="str">
        <f t="shared" si="109"/>
        <v/>
      </c>
      <c r="C473" s="220"/>
      <c r="D473" s="220"/>
      <c r="E473" s="220"/>
      <c r="F473" s="220"/>
      <c r="G473" s="221"/>
      <c r="H473" s="220"/>
      <c r="I473" s="220"/>
      <c r="J473" s="220"/>
    </row>
    <row r="474" spans="1:10" x14ac:dyDescent="0.2">
      <c r="A474" s="59">
        <f t="shared" si="108"/>
        <v>75</v>
      </c>
      <c r="B474" s="420" t="str">
        <f t="shared" si="109"/>
        <v/>
      </c>
      <c r="C474" s="220"/>
      <c r="D474" s="220"/>
      <c r="E474" s="220"/>
      <c r="F474" s="220"/>
      <c r="G474" s="221"/>
      <c r="H474" s="220"/>
      <c r="I474" s="220"/>
      <c r="J474" s="220"/>
    </row>
    <row r="475" spans="1:10" x14ac:dyDescent="0.2">
      <c r="A475" s="59">
        <f t="shared" si="108"/>
        <v>75</v>
      </c>
      <c r="B475" s="420" t="str">
        <f t="shared" si="109"/>
        <v/>
      </c>
      <c r="C475" s="220"/>
      <c r="D475" s="220"/>
      <c r="E475" s="220"/>
      <c r="F475" s="220"/>
      <c r="G475" s="221"/>
      <c r="H475" s="220"/>
      <c r="I475" s="220"/>
      <c r="J475" s="220"/>
    </row>
    <row r="476" spans="1:10" x14ac:dyDescent="0.2">
      <c r="A476" s="60">
        <f t="shared" si="108"/>
        <v>75</v>
      </c>
      <c r="B476" s="420" t="str">
        <f t="shared" si="109"/>
        <v/>
      </c>
      <c r="C476" s="222"/>
      <c r="D476" s="222"/>
      <c r="E476" s="222"/>
      <c r="F476" s="222"/>
      <c r="G476" s="223"/>
      <c r="H476" s="222"/>
      <c r="I476" s="222"/>
      <c r="J476" s="222"/>
    </row>
    <row r="477" spans="1:10" x14ac:dyDescent="0.2">
      <c r="A477" s="30">
        <v>75</v>
      </c>
      <c r="B477" s="419" t="str">
        <f>"Total "&amp;A477</f>
        <v>Total 75</v>
      </c>
      <c r="C477" s="31" t="str">
        <f>IF(AND(C470=0,C471=0,C472=0,C473=0,C474=0,C475=0,C476=0),"",SUM(C470:C476))</f>
        <v/>
      </c>
      <c r="D477" s="31" t="str">
        <f>IF(AND(D470=0,D471=0,D472=0,D473=0,D474=0,D475=0,D476=0),"",SUM(D470:D476))</f>
        <v/>
      </c>
      <c r="E477" s="31">
        <f>IF(AND(E470=0,E471=0,E472=0,E473=0,E474=0,E475=0,E476=0),0,SUM(E470:E476))</f>
        <v>0</v>
      </c>
      <c r="F477" s="31">
        <f>IF(AND(F470=0,F471=0,F472=0,F473=0,F474=0,F475=0,F476=0),0,SUM(F470:F476))</f>
        <v>0</v>
      </c>
      <c r="G477" s="32" t="str">
        <f>IF(AND(G470=0,G471=0,G472=0,G473=0,G474=0,G475=0,G476=0),"",AVERAGE(G470:G476))</f>
        <v/>
      </c>
      <c r="H477" s="31">
        <f>IF(AND(H470=0,H471=0,H472=0,H473=0,H474=0,H475=0,H476=0),0,SUM(H470:H476))</f>
        <v>0</v>
      </c>
      <c r="I477" s="31" t="str">
        <f>IF(AND(I470=0,I471=0,I472=0,I473=0,I474=0,I475=0,I476=0),"",SUM(I470:I476))</f>
        <v/>
      </c>
      <c r="J477" s="31">
        <f>IF(AND(J470=0,J471=0,J472=0,J473=0,J474=0,J475=0,J476=0),0,AVERAGE(J470:J476))</f>
        <v>0</v>
      </c>
    </row>
    <row r="478" spans="1:10" x14ac:dyDescent="0.2">
      <c r="A478" s="58">
        <f t="shared" ref="A478:A484" si="110">A470+1</f>
        <v>76</v>
      </c>
      <c r="B478" s="420" t="str">
        <f>IF(B476&lt;&gt;"",B476+1,"")</f>
        <v/>
      </c>
      <c r="C478" s="218"/>
      <c r="D478" s="218"/>
      <c r="E478" s="218"/>
      <c r="F478" s="218"/>
      <c r="G478" s="219"/>
      <c r="H478" s="218"/>
      <c r="I478" s="218"/>
      <c r="J478" s="218"/>
    </row>
    <row r="479" spans="1:10" x14ac:dyDescent="0.2">
      <c r="A479" s="58">
        <f t="shared" si="110"/>
        <v>76</v>
      </c>
      <c r="B479" s="420" t="str">
        <f t="shared" ref="B479:B484" si="111">IF(B478&lt;&gt;"",B478+1,"")</f>
        <v/>
      </c>
      <c r="C479" s="218"/>
      <c r="D479" s="218"/>
      <c r="E479" s="218"/>
      <c r="F479" s="218"/>
      <c r="G479" s="219"/>
      <c r="H479" s="218"/>
      <c r="I479" s="218"/>
      <c r="J479" s="218"/>
    </row>
    <row r="480" spans="1:10" x14ac:dyDescent="0.2">
      <c r="A480" s="58">
        <f t="shared" si="110"/>
        <v>76</v>
      </c>
      <c r="B480" s="420" t="str">
        <f t="shared" si="111"/>
        <v/>
      </c>
      <c r="C480" s="218"/>
      <c r="D480" s="218"/>
      <c r="E480" s="218"/>
      <c r="F480" s="218"/>
      <c r="G480" s="219"/>
      <c r="H480" s="218"/>
      <c r="I480" s="218"/>
      <c r="J480" s="218"/>
    </row>
    <row r="481" spans="1:10" x14ac:dyDescent="0.2">
      <c r="A481" s="59">
        <f t="shared" si="110"/>
        <v>76</v>
      </c>
      <c r="B481" s="420" t="str">
        <f t="shared" si="111"/>
        <v/>
      </c>
      <c r="C481" s="220"/>
      <c r="D481" s="220"/>
      <c r="E481" s="220"/>
      <c r="F481" s="220"/>
      <c r="G481" s="221"/>
      <c r="H481" s="220"/>
      <c r="I481" s="220"/>
      <c r="J481" s="220"/>
    </row>
    <row r="482" spans="1:10" x14ac:dyDescent="0.2">
      <c r="A482" s="59">
        <f t="shared" si="110"/>
        <v>76</v>
      </c>
      <c r="B482" s="420" t="str">
        <f t="shared" si="111"/>
        <v/>
      </c>
      <c r="C482" s="220"/>
      <c r="D482" s="220"/>
      <c r="E482" s="220"/>
      <c r="F482" s="220"/>
      <c r="G482" s="221"/>
      <c r="H482" s="220"/>
      <c r="I482" s="220"/>
      <c r="J482" s="220"/>
    </row>
    <row r="483" spans="1:10" x14ac:dyDescent="0.2">
      <c r="A483" s="59">
        <f t="shared" si="110"/>
        <v>76</v>
      </c>
      <c r="B483" s="420" t="str">
        <f t="shared" si="111"/>
        <v/>
      </c>
      <c r="C483" s="220"/>
      <c r="D483" s="220"/>
      <c r="E483" s="220"/>
      <c r="F483" s="220"/>
      <c r="G483" s="221"/>
      <c r="H483" s="220"/>
      <c r="I483" s="220"/>
      <c r="J483" s="220"/>
    </row>
    <row r="484" spans="1:10" x14ac:dyDescent="0.2">
      <c r="A484" s="60">
        <f t="shared" si="110"/>
        <v>76</v>
      </c>
      <c r="B484" s="420" t="str">
        <f t="shared" si="111"/>
        <v/>
      </c>
      <c r="C484" s="222"/>
      <c r="D484" s="222"/>
      <c r="E484" s="222"/>
      <c r="F484" s="222"/>
      <c r="G484" s="223"/>
      <c r="H484" s="222"/>
      <c r="I484" s="222"/>
      <c r="J484" s="222"/>
    </row>
    <row r="485" spans="1:10" x14ac:dyDescent="0.2">
      <c r="A485" s="30">
        <v>76</v>
      </c>
      <c r="B485" s="419" t="str">
        <f>"Total "&amp;A485</f>
        <v>Total 76</v>
      </c>
      <c r="C485" s="31" t="str">
        <f>IF(AND(C478=0,C479=0,C480=0,C481=0,C482=0,C483=0,C484=0),"",SUM(C478:C484))</f>
        <v/>
      </c>
      <c r="D485" s="31" t="str">
        <f>IF(AND(D478=0,D479=0,D480=0,D481=0,D482=0,D483=0,D484=0),"",SUM(D478:D484))</f>
        <v/>
      </c>
      <c r="E485" s="31">
        <f>IF(AND(E478=0,E479=0,E480=0,E481=0,E482=0,E483=0,E484=0),0,SUM(E478:E484))</f>
        <v>0</v>
      </c>
      <c r="F485" s="31">
        <f>IF(AND(F478=0,F479=0,F480=0,F481=0,F482=0,F483=0,F484=0),0,SUM(F478:F484))</f>
        <v>0</v>
      </c>
      <c r="G485" s="32" t="str">
        <f>IF(AND(G478=0,G479=0,G480=0,G481=0,G482=0,G483=0,G484=0),"",AVERAGE(G478:G484))</f>
        <v/>
      </c>
      <c r="H485" s="31">
        <f>IF(AND(H478=0,H479=0,H480=0,H481=0,H482=0,H483=0,H484=0),0,SUM(H478:H484))</f>
        <v>0</v>
      </c>
      <c r="I485" s="31" t="str">
        <f>IF(AND(I478=0,I479=0,I480=0,I481=0,I482=0,I483=0,I484=0),"",SUM(I478:I484))</f>
        <v/>
      </c>
      <c r="J485" s="31">
        <f>IF(AND(J478=0,J479=0,J480=0,J481=0,J482=0,J483=0,J484=0),0,AVERAGE(J478:J484))</f>
        <v>0</v>
      </c>
    </row>
    <row r="486" spans="1:10" x14ac:dyDescent="0.2">
      <c r="A486" s="58">
        <f t="shared" ref="A486:A492" si="112">A478+1</f>
        <v>77</v>
      </c>
      <c r="B486" s="420" t="str">
        <f>IF(B484&lt;&gt;"",B484+1,"")</f>
        <v/>
      </c>
      <c r="C486" s="218"/>
      <c r="D486" s="218"/>
      <c r="E486" s="218"/>
      <c r="F486" s="218"/>
      <c r="G486" s="219"/>
      <c r="H486" s="218"/>
      <c r="I486" s="218"/>
      <c r="J486" s="218"/>
    </row>
    <row r="487" spans="1:10" x14ac:dyDescent="0.2">
      <c r="A487" s="58">
        <f t="shared" si="112"/>
        <v>77</v>
      </c>
      <c r="B487" s="420" t="str">
        <f t="shared" ref="B487:B492" si="113">IF(B486&lt;&gt;"",B486+1,"")</f>
        <v/>
      </c>
      <c r="C487" s="218"/>
      <c r="D487" s="218"/>
      <c r="E487" s="218"/>
      <c r="F487" s="218"/>
      <c r="G487" s="219"/>
      <c r="H487" s="218"/>
      <c r="I487" s="218"/>
      <c r="J487" s="218"/>
    </row>
    <row r="488" spans="1:10" x14ac:dyDescent="0.2">
      <c r="A488" s="58">
        <f t="shared" si="112"/>
        <v>77</v>
      </c>
      <c r="B488" s="420" t="str">
        <f t="shared" si="113"/>
        <v/>
      </c>
      <c r="C488" s="218"/>
      <c r="D488" s="218"/>
      <c r="E488" s="218"/>
      <c r="F488" s="218"/>
      <c r="G488" s="219"/>
      <c r="H488" s="218"/>
      <c r="I488" s="218"/>
      <c r="J488" s="218"/>
    </row>
    <row r="489" spans="1:10" x14ac:dyDescent="0.2">
      <c r="A489" s="59">
        <f t="shared" si="112"/>
        <v>77</v>
      </c>
      <c r="B489" s="420" t="str">
        <f t="shared" si="113"/>
        <v/>
      </c>
      <c r="C489" s="220"/>
      <c r="D489" s="220"/>
      <c r="E489" s="220"/>
      <c r="F489" s="220"/>
      <c r="G489" s="221"/>
      <c r="H489" s="220"/>
      <c r="I489" s="220"/>
      <c r="J489" s="220"/>
    </row>
    <row r="490" spans="1:10" x14ac:dyDescent="0.2">
      <c r="A490" s="59">
        <f t="shared" si="112"/>
        <v>77</v>
      </c>
      <c r="B490" s="420" t="str">
        <f t="shared" si="113"/>
        <v/>
      </c>
      <c r="C490" s="220"/>
      <c r="D490" s="220"/>
      <c r="E490" s="220"/>
      <c r="F490" s="220"/>
      <c r="G490" s="221"/>
      <c r="H490" s="220"/>
      <c r="I490" s="220"/>
      <c r="J490" s="220"/>
    </row>
    <row r="491" spans="1:10" x14ac:dyDescent="0.2">
      <c r="A491" s="59">
        <f t="shared" si="112"/>
        <v>77</v>
      </c>
      <c r="B491" s="420" t="str">
        <f t="shared" si="113"/>
        <v/>
      </c>
      <c r="C491" s="220"/>
      <c r="D491" s="220"/>
      <c r="E491" s="220"/>
      <c r="F491" s="220"/>
      <c r="G491" s="221"/>
      <c r="H491" s="220"/>
      <c r="I491" s="220"/>
      <c r="J491" s="220"/>
    </row>
    <row r="492" spans="1:10" x14ac:dyDescent="0.2">
      <c r="A492" s="60">
        <f t="shared" si="112"/>
        <v>77</v>
      </c>
      <c r="B492" s="420" t="str">
        <f t="shared" si="113"/>
        <v/>
      </c>
      <c r="C492" s="222"/>
      <c r="D492" s="222"/>
      <c r="E492" s="222"/>
      <c r="F492" s="222"/>
      <c r="G492" s="223"/>
      <c r="H492" s="222"/>
      <c r="I492" s="222"/>
      <c r="J492" s="222"/>
    </row>
    <row r="493" spans="1:10" x14ac:dyDescent="0.2">
      <c r="A493" s="30">
        <v>77</v>
      </c>
      <c r="B493" s="419" t="str">
        <f>"Total "&amp;A493</f>
        <v>Total 77</v>
      </c>
      <c r="C493" s="31" t="str">
        <f>IF(AND(C486=0,C487=0,C488=0,C489=0,C490=0,C491=0,C492=0),"",SUM(C486:C492))</f>
        <v/>
      </c>
      <c r="D493" s="31" t="str">
        <f>IF(AND(D486=0,D487=0,D488=0,D489=0,D490=0,D491=0,D492=0),"",SUM(D486:D492))</f>
        <v/>
      </c>
      <c r="E493" s="31">
        <f>IF(AND(E486=0,E487=0,E488=0,E489=0,E490=0,E491=0,E492=0),0,SUM(E486:E492))</f>
        <v>0</v>
      </c>
      <c r="F493" s="31">
        <f>IF(AND(F486=0,F487=0,F488=0,F489=0,F490=0,F491=0,F492=0),0,SUM(F486:F492))</f>
        <v>0</v>
      </c>
      <c r="G493" s="32" t="str">
        <f>IF(AND(G486=0,G487=0,G488=0,G489=0,G490=0,G491=0,G492=0),"",AVERAGE(G486:G492))</f>
        <v/>
      </c>
      <c r="H493" s="31">
        <f>IF(AND(H486=0,H487=0,H488=0,H489=0,H490=0,H491=0,H492=0),0,SUM(H486:H492))</f>
        <v>0</v>
      </c>
      <c r="I493" s="31" t="str">
        <f>IF(AND(I486=0,I487=0,I488=0,I489=0,I490=0,I491=0,I492=0),"",SUM(I486:I492))</f>
        <v/>
      </c>
      <c r="J493" s="31">
        <f>IF(AND(J486=0,J487=0,J488=0,J489=0,J490=0,J491=0,J492=0),0,AVERAGE(J486:J492))</f>
        <v>0</v>
      </c>
    </row>
    <row r="494" spans="1:10" x14ac:dyDescent="0.2">
      <c r="A494" s="58">
        <f t="shared" ref="A494:A500" si="114">A486+1</f>
        <v>78</v>
      </c>
      <c r="B494" s="420" t="str">
        <f>IF(B492&lt;&gt;"",B492+1,"")</f>
        <v/>
      </c>
      <c r="C494" s="218"/>
      <c r="D494" s="218"/>
      <c r="E494" s="218"/>
      <c r="F494" s="218"/>
      <c r="G494" s="219"/>
      <c r="H494" s="218"/>
      <c r="I494" s="218"/>
      <c r="J494" s="218"/>
    </row>
    <row r="495" spans="1:10" x14ac:dyDescent="0.2">
      <c r="A495" s="58">
        <f t="shared" si="114"/>
        <v>78</v>
      </c>
      <c r="B495" s="420" t="str">
        <f t="shared" ref="B495:B500" si="115">IF(B494&lt;&gt;"",B494+1,"")</f>
        <v/>
      </c>
      <c r="C495" s="218"/>
      <c r="D495" s="218"/>
      <c r="E495" s="218"/>
      <c r="F495" s="218"/>
      <c r="G495" s="219"/>
      <c r="H495" s="218"/>
      <c r="I495" s="218"/>
      <c r="J495" s="218"/>
    </row>
    <row r="496" spans="1:10" x14ac:dyDescent="0.2">
      <c r="A496" s="58">
        <f t="shared" si="114"/>
        <v>78</v>
      </c>
      <c r="B496" s="420" t="str">
        <f t="shared" si="115"/>
        <v/>
      </c>
      <c r="C496" s="218"/>
      <c r="D496" s="218"/>
      <c r="E496" s="218"/>
      <c r="F496" s="218"/>
      <c r="G496" s="219"/>
      <c r="H496" s="218"/>
      <c r="I496" s="218"/>
      <c r="J496" s="218"/>
    </row>
    <row r="497" spans="1:10" x14ac:dyDescent="0.2">
      <c r="A497" s="59">
        <f t="shared" si="114"/>
        <v>78</v>
      </c>
      <c r="B497" s="420" t="str">
        <f t="shared" si="115"/>
        <v/>
      </c>
      <c r="C497" s="220"/>
      <c r="D497" s="220"/>
      <c r="E497" s="220"/>
      <c r="F497" s="220"/>
      <c r="G497" s="221"/>
      <c r="H497" s="220"/>
      <c r="I497" s="220"/>
      <c r="J497" s="220"/>
    </row>
    <row r="498" spans="1:10" x14ac:dyDescent="0.2">
      <c r="A498" s="59">
        <f t="shared" si="114"/>
        <v>78</v>
      </c>
      <c r="B498" s="420" t="str">
        <f t="shared" si="115"/>
        <v/>
      </c>
      <c r="C498" s="220"/>
      <c r="D498" s="220"/>
      <c r="E498" s="220"/>
      <c r="F498" s="220"/>
      <c r="G498" s="221"/>
      <c r="H498" s="220"/>
      <c r="I498" s="220"/>
      <c r="J498" s="220"/>
    </row>
    <row r="499" spans="1:10" x14ac:dyDescent="0.2">
      <c r="A499" s="59">
        <f t="shared" si="114"/>
        <v>78</v>
      </c>
      <c r="B499" s="420" t="str">
        <f t="shared" si="115"/>
        <v/>
      </c>
      <c r="C499" s="220"/>
      <c r="D499" s="220"/>
      <c r="E499" s="220"/>
      <c r="F499" s="220"/>
      <c r="G499" s="221"/>
      <c r="H499" s="220"/>
      <c r="I499" s="220"/>
      <c r="J499" s="220"/>
    </row>
    <row r="500" spans="1:10" x14ac:dyDescent="0.2">
      <c r="A500" s="60">
        <f t="shared" si="114"/>
        <v>78</v>
      </c>
      <c r="B500" s="420" t="str">
        <f t="shared" si="115"/>
        <v/>
      </c>
      <c r="C500" s="222"/>
      <c r="D500" s="222"/>
      <c r="E500" s="222"/>
      <c r="F500" s="222"/>
      <c r="G500" s="223"/>
      <c r="H500" s="222"/>
      <c r="I500" s="222"/>
      <c r="J500" s="222"/>
    </row>
    <row r="501" spans="1:10" x14ac:dyDescent="0.2">
      <c r="A501" s="30">
        <v>78</v>
      </c>
      <c r="B501" s="419" t="str">
        <f>"Total "&amp;A501</f>
        <v>Total 78</v>
      </c>
      <c r="C501" s="31" t="str">
        <f>IF(AND(C494=0,C495=0,C496=0,C497=0,C498=0,C499=0,C500=0),"",SUM(C494:C500))</f>
        <v/>
      </c>
      <c r="D501" s="31" t="str">
        <f>IF(AND(D494=0,D495=0,D496=0,D497=0,D498=0,D499=0,D500=0),"",SUM(D494:D500))</f>
        <v/>
      </c>
      <c r="E501" s="31">
        <f>IF(AND(E494=0,E495=0,E496=0,E497=0,E498=0,E499=0,E500=0),0,SUM(E494:E500))</f>
        <v>0</v>
      </c>
      <c r="F501" s="31">
        <f>IF(AND(F494=0,F495=0,F496=0,F497=0,F498=0,F499=0,F500=0),0,SUM(F494:F500))</f>
        <v>0</v>
      </c>
      <c r="G501" s="32" t="str">
        <f>IF(AND(G494=0,G495=0,G496=0,G497=0,G498=0,G499=0,G500=0),"",AVERAGE(G494:G500))</f>
        <v/>
      </c>
      <c r="H501" s="31">
        <f>IF(AND(H494=0,H495=0,H496=0,H497=0,H498=0,H499=0,H500=0),0,SUM(H494:H500))</f>
        <v>0</v>
      </c>
      <c r="I501" s="31" t="str">
        <f>IF(AND(I494=0,I495=0,I496=0,I497=0,I498=0,I499=0,I500=0),"",SUM(I494:I500))</f>
        <v/>
      </c>
      <c r="J501" s="31">
        <f>IF(AND(J494=0,J495=0,J496=0,J497=0,J498=0,J499=0,J500=0),0,AVERAGE(J494:J500))</f>
        <v>0</v>
      </c>
    </row>
    <row r="502" spans="1:10" x14ac:dyDescent="0.2">
      <c r="A502" s="58">
        <f t="shared" ref="A502:A508" si="116">A494+1</f>
        <v>79</v>
      </c>
      <c r="B502" s="420" t="str">
        <f>IF(B500&lt;&gt;"",B500+1,"")</f>
        <v/>
      </c>
      <c r="C502" s="218"/>
      <c r="D502" s="218"/>
      <c r="E502" s="218"/>
      <c r="F502" s="218"/>
      <c r="G502" s="219"/>
      <c r="H502" s="218"/>
      <c r="I502" s="218"/>
      <c r="J502" s="218"/>
    </row>
    <row r="503" spans="1:10" x14ac:dyDescent="0.2">
      <c r="A503" s="58">
        <f t="shared" si="116"/>
        <v>79</v>
      </c>
      <c r="B503" s="420" t="str">
        <f t="shared" ref="B503:B508" si="117">IF(B502&lt;&gt;"",B502+1,"")</f>
        <v/>
      </c>
      <c r="C503" s="218"/>
      <c r="D503" s="218"/>
      <c r="E503" s="218"/>
      <c r="F503" s="218"/>
      <c r="G503" s="219"/>
      <c r="H503" s="218"/>
      <c r="I503" s="218"/>
      <c r="J503" s="218"/>
    </row>
    <row r="504" spans="1:10" x14ac:dyDescent="0.2">
      <c r="A504" s="58">
        <f t="shared" si="116"/>
        <v>79</v>
      </c>
      <c r="B504" s="420" t="str">
        <f t="shared" si="117"/>
        <v/>
      </c>
      <c r="C504" s="218"/>
      <c r="D504" s="218"/>
      <c r="E504" s="218"/>
      <c r="F504" s="218"/>
      <c r="G504" s="219"/>
      <c r="H504" s="218"/>
      <c r="I504" s="218"/>
      <c r="J504" s="218"/>
    </row>
    <row r="505" spans="1:10" x14ac:dyDescent="0.2">
      <c r="A505" s="59">
        <f t="shared" si="116"/>
        <v>79</v>
      </c>
      <c r="B505" s="420" t="str">
        <f t="shared" si="117"/>
        <v/>
      </c>
      <c r="C505" s="220"/>
      <c r="D505" s="220"/>
      <c r="E505" s="220"/>
      <c r="F505" s="220"/>
      <c r="G505" s="221"/>
      <c r="H505" s="220"/>
      <c r="I505" s="220"/>
      <c r="J505" s="220"/>
    </row>
    <row r="506" spans="1:10" x14ac:dyDescent="0.2">
      <c r="A506" s="59">
        <f t="shared" si="116"/>
        <v>79</v>
      </c>
      <c r="B506" s="420" t="str">
        <f t="shared" si="117"/>
        <v/>
      </c>
      <c r="C506" s="220"/>
      <c r="D506" s="220"/>
      <c r="E506" s="220"/>
      <c r="F506" s="220"/>
      <c r="G506" s="221"/>
      <c r="H506" s="220"/>
      <c r="I506" s="220"/>
      <c r="J506" s="220"/>
    </row>
    <row r="507" spans="1:10" x14ac:dyDescent="0.2">
      <c r="A507" s="59">
        <f t="shared" si="116"/>
        <v>79</v>
      </c>
      <c r="B507" s="420" t="str">
        <f t="shared" si="117"/>
        <v/>
      </c>
      <c r="C507" s="220"/>
      <c r="D507" s="220"/>
      <c r="E507" s="220"/>
      <c r="F507" s="220"/>
      <c r="G507" s="221"/>
      <c r="H507" s="220"/>
      <c r="I507" s="220"/>
      <c r="J507" s="220"/>
    </row>
    <row r="508" spans="1:10" x14ac:dyDescent="0.2">
      <c r="A508" s="60">
        <f t="shared" si="116"/>
        <v>79</v>
      </c>
      <c r="B508" s="420" t="str">
        <f t="shared" si="117"/>
        <v/>
      </c>
      <c r="C508" s="222"/>
      <c r="D508" s="222"/>
      <c r="E508" s="222"/>
      <c r="F508" s="222"/>
      <c r="G508" s="223"/>
      <c r="H508" s="222"/>
      <c r="I508" s="222"/>
      <c r="J508" s="222"/>
    </row>
    <row r="509" spans="1:10" x14ac:dyDescent="0.2">
      <c r="A509" s="30">
        <v>79</v>
      </c>
      <c r="B509" s="419" t="str">
        <f>"Total "&amp;A509</f>
        <v>Total 79</v>
      </c>
      <c r="C509" s="31" t="str">
        <f>IF(AND(C502=0,C503=0,C504=0,C505=0,C506=0,C507=0,C508=0),"",SUM(C502:C508))</f>
        <v/>
      </c>
      <c r="D509" s="31" t="str">
        <f>IF(AND(D502=0,D503=0,D504=0,D505=0,D506=0,D507=0,D508=0),"",SUM(D502:D508))</f>
        <v/>
      </c>
      <c r="E509" s="31">
        <f>IF(AND(E502=0,E503=0,E504=0,E505=0,E506=0,E507=0,E508=0),0,SUM(E502:E508))</f>
        <v>0</v>
      </c>
      <c r="F509" s="31">
        <f>IF(AND(F502=0,F503=0,F504=0,F505=0,F506=0,F507=0,F508=0),0,SUM(F502:F508))</f>
        <v>0</v>
      </c>
      <c r="G509" s="32" t="str">
        <f>IF(AND(G502=0,G503=0,G504=0,G505=0,G506=0,G507=0,G508=0),"",AVERAGE(G502:G508))</f>
        <v/>
      </c>
      <c r="H509" s="31">
        <f>IF(AND(H502=0,H503=0,H504=0,H505=0,H506=0,H507=0,H508=0),0,SUM(H502:H508))</f>
        <v>0</v>
      </c>
      <c r="I509" s="31" t="str">
        <f>IF(AND(I502=0,I503=0,I504=0,I505=0,I506=0,I507=0,I508=0),"",SUM(I502:I508))</f>
        <v/>
      </c>
      <c r="J509" s="31">
        <f>IF(AND(J502=0,J503=0,J504=0,J505=0,J506=0,J507=0,J508=0),0,AVERAGE(J502:J508))</f>
        <v>0</v>
      </c>
    </row>
    <row r="510" spans="1:10" x14ac:dyDescent="0.2">
      <c r="A510" s="58">
        <f t="shared" ref="A510:A516" si="118">A502+1</f>
        <v>80</v>
      </c>
      <c r="B510" s="420" t="str">
        <f>IF(B508&lt;&gt;"",B508+1,"")</f>
        <v/>
      </c>
      <c r="C510" s="218"/>
      <c r="D510" s="218"/>
      <c r="E510" s="218"/>
      <c r="F510" s="218"/>
      <c r="G510" s="219"/>
      <c r="H510" s="218"/>
      <c r="I510" s="218"/>
      <c r="J510" s="218"/>
    </row>
    <row r="511" spans="1:10" x14ac:dyDescent="0.2">
      <c r="A511" s="58">
        <f t="shared" si="118"/>
        <v>80</v>
      </c>
      <c r="B511" s="420" t="str">
        <f t="shared" ref="B511:B516" si="119">IF(B510&lt;&gt;"",B510+1,"")</f>
        <v/>
      </c>
      <c r="C511" s="218"/>
      <c r="D511" s="218"/>
      <c r="E511" s="218"/>
      <c r="F511" s="218"/>
      <c r="G511" s="219"/>
      <c r="H511" s="218"/>
      <c r="I511" s="218"/>
      <c r="J511" s="218"/>
    </row>
    <row r="512" spans="1:10" x14ac:dyDescent="0.2">
      <c r="A512" s="58">
        <f t="shared" si="118"/>
        <v>80</v>
      </c>
      <c r="B512" s="420" t="str">
        <f t="shared" si="119"/>
        <v/>
      </c>
      <c r="C512" s="218"/>
      <c r="D512" s="218"/>
      <c r="E512" s="218"/>
      <c r="F512" s="218"/>
      <c r="G512" s="219"/>
      <c r="H512" s="218"/>
      <c r="I512" s="218"/>
      <c r="J512" s="218"/>
    </row>
    <row r="513" spans="1:10" x14ac:dyDescent="0.2">
      <c r="A513" s="59">
        <f t="shared" si="118"/>
        <v>80</v>
      </c>
      <c r="B513" s="420" t="str">
        <f t="shared" si="119"/>
        <v/>
      </c>
      <c r="C513" s="220"/>
      <c r="D513" s="220"/>
      <c r="E513" s="220"/>
      <c r="F513" s="220"/>
      <c r="G513" s="221"/>
      <c r="H513" s="220"/>
      <c r="I513" s="220"/>
      <c r="J513" s="220"/>
    </row>
    <row r="514" spans="1:10" x14ac:dyDescent="0.2">
      <c r="A514" s="59">
        <f t="shared" si="118"/>
        <v>80</v>
      </c>
      <c r="B514" s="420" t="str">
        <f t="shared" si="119"/>
        <v/>
      </c>
      <c r="C514" s="220"/>
      <c r="D514" s="220"/>
      <c r="E514" s="220"/>
      <c r="F514" s="220"/>
      <c r="G514" s="221"/>
      <c r="H514" s="220"/>
      <c r="I514" s="220"/>
      <c r="J514" s="220"/>
    </row>
    <row r="515" spans="1:10" x14ac:dyDescent="0.2">
      <c r="A515" s="59">
        <f t="shared" si="118"/>
        <v>80</v>
      </c>
      <c r="B515" s="420" t="str">
        <f t="shared" si="119"/>
        <v/>
      </c>
      <c r="C515" s="220"/>
      <c r="D515" s="220"/>
      <c r="E515" s="220"/>
      <c r="F515" s="220"/>
      <c r="G515" s="221"/>
      <c r="H515" s="220"/>
      <c r="I515" s="220"/>
      <c r="J515" s="220"/>
    </row>
    <row r="516" spans="1:10" x14ac:dyDescent="0.2">
      <c r="A516" s="60">
        <f t="shared" si="118"/>
        <v>80</v>
      </c>
      <c r="B516" s="420" t="str">
        <f t="shared" si="119"/>
        <v/>
      </c>
      <c r="C516" s="222"/>
      <c r="D516" s="222"/>
      <c r="E516" s="222"/>
      <c r="F516" s="222"/>
      <c r="G516" s="223"/>
      <c r="H516" s="222"/>
      <c r="I516" s="222"/>
      <c r="J516" s="222"/>
    </row>
    <row r="517" spans="1:10" x14ac:dyDescent="0.2">
      <c r="A517" s="30">
        <v>80</v>
      </c>
      <c r="B517" s="419" t="str">
        <f>"Total "&amp;A517</f>
        <v>Total 80</v>
      </c>
      <c r="C517" s="31" t="str">
        <f>IF(AND(C510=0,C511=0,C512=0,C513=0,C514=0,C515=0,C516=0),"",SUM(C510:C516))</f>
        <v/>
      </c>
      <c r="D517" s="31" t="str">
        <f>IF(AND(D510=0,D511=0,D512=0,D513=0,D514=0,D515=0,D516=0),"",SUM(D510:D516))</f>
        <v/>
      </c>
      <c r="E517" s="31">
        <f>IF(AND(E510=0,E511=0,E512=0,E513=0,E514=0,E515=0,E516=0),0,SUM(E510:E516))</f>
        <v>0</v>
      </c>
      <c r="F517" s="31">
        <f>IF(AND(F510=0,F511=0,F512=0,F513=0,F514=0,F515=0,F516=0),0,SUM(F510:F516))</f>
        <v>0</v>
      </c>
      <c r="G517" s="32" t="str">
        <f>IF(AND(G510=0,G511=0,G512=0,G513=0,G514=0,G515=0,G516=0),"",AVERAGE(G510:G516))</f>
        <v/>
      </c>
      <c r="H517" s="31">
        <f>IF(AND(H510=0,H511=0,H512=0,H513=0,H514=0,H515=0,H516=0),0,SUM(H510:H516))</f>
        <v>0</v>
      </c>
      <c r="I517" s="31" t="str">
        <f>IF(AND(I510=0,I511=0,I512=0,I513=0,I514=0,I515=0,I516=0),"",SUM(I510:I516))</f>
        <v/>
      </c>
      <c r="J517" s="31">
        <f>IF(AND(J510=0,J511=0,J512=0,J513=0,J514=0,J515=0,J516=0),0,AVERAGE(J510:J516))</f>
        <v>0</v>
      </c>
    </row>
    <row r="518" spans="1:10" x14ac:dyDescent="0.2">
      <c r="A518" s="58">
        <f t="shared" ref="A518:A524" si="120">A510+1</f>
        <v>81</v>
      </c>
      <c r="B518" s="420" t="str">
        <f>IF(B516&lt;&gt;"",B516+1,"")</f>
        <v/>
      </c>
      <c r="C518" s="218"/>
      <c r="D518" s="218"/>
      <c r="E518" s="218"/>
      <c r="F518" s="218"/>
      <c r="G518" s="219"/>
      <c r="H518" s="218"/>
      <c r="I518" s="218"/>
      <c r="J518" s="218"/>
    </row>
    <row r="519" spans="1:10" x14ac:dyDescent="0.2">
      <c r="A519" s="58">
        <f t="shared" si="120"/>
        <v>81</v>
      </c>
      <c r="B519" s="420" t="str">
        <f t="shared" ref="B519:B524" si="121">IF(B518&lt;&gt;"",B518+1,"")</f>
        <v/>
      </c>
      <c r="C519" s="218"/>
      <c r="D519" s="218"/>
      <c r="E519" s="218"/>
      <c r="F519" s="218"/>
      <c r="G519" s="219"/>
      <c r="H519" s="218"/>
      <c r="I519" s="218"/>
      <c r="J519" s="218"/>
    </row>
    <row r="520" spans="1:10" x14ac:dyDescent="0.2">
      <c r="A520" s="58">
        <f t="shared" si="120"/>
        <v>81</v>
      </c>
      <c r="B520" s="420" t="str">
        <f t="shared" si="121"/>
        <v/>
      </c>
      <c r="C520" s="218"/>
      <c r="D520" s="218"/>
      <c r="E520" s="218"/>
      <c r="F520" s="218"/>
      <c r="G520" s="219"/>
      <c r="H520" s="218"/>
      <c r="I520" s="218"/>
      <c r="J520" s="218"/>
    </row>
    <row r="521" spans="1:10" x14ac:dyDescent="0.2">
      <c r="A521" s="59">
        <f t="shared" si="120"/>
        <v>81</v>
      </c>
      <c r="B521" s="420" t="str">
        <f t="shared" si="121"/>
        <v/>
      </c>
      <c r="C521" s="220"/>
      <c r="D521" s="220"/>
      <c r="E521" s="220"/>
      <c r="F521" s="220"/>
      <c r="G521" s="221"/>
      <c r="H521" s="220"/>
      <c r="I521" s="220"/>
      <c r="J521" s="220"/>
    </row>
    <row r="522" spans="1:10" x14ac:dyDescent="0.2">
      <c r="A522" s="59">
        <f t="shared" si="120"/>
        <v>81</v>
      </c>
      <c r="B522" s="420" t="str">
        <f t="shared" si="121"/>
        <v/>
      </c>
      <c r="C522" s="220"/>
      <c r="D522" s="220"/>
      <c r="E522" s="220"/>
      <c r="F522" s="220"/>
      <c r="G522" s="221"/>
      <c r="H522" s="220"/>
      <c r="I522" s="220"/>
      <c r="J522" s="220"/>
    </row>
    <row r="523" spans="1:10" x14ac:dyDescent="0.2">
      <c r="A523" s="59">
        <f t="shared" si="120"/>
        <v>81</v>
      </c>
      <c r="B523" s="420" t="str">
        <f t="shared" si="121"/>
        <v/>
      </c>
      <c r="C523" s="220"/>
      <c r="D523" s="220"/>
      <c r="E523" s="220"/>
      <c r="F523" s="220"/>
      <c r="G523" s="221"/>
      <c r="H523" s="220"/>
      <c r="I523" s="220"/>
      <c r="J523" s="220"/>
    </row>
    <row r="524" spans="1:10" x14ac:dyDescent="0.2">
      <c r="A524" s="60">
        <f t="shared" si="120"/>
        <v>81</v>
      </c>
      <c r="B524" s="420" t="str">
        <f t="shared" si="121"/>
        <v/>
      </c>
      <c r="C524" s="222"/>
      <c r="D524" s="222"/>
      <c r="E524" s="222"/>
      <c r="F524" s="222"/>
      <c r="G524" s="223"/>
      <c r="H524" s="222"/>
      <c r="I524" s="222"/>
      <c r="J524" s="222"/>
    </row>
    <row r="525" spans="1:10" x14ac:dyDescent="0.2">
      <c r="A525" s="30">
        <v>81</v>
      </c>
      <c r="B525" s="419" t="str">
        <f>"Total "&amp;A525</f>
        <v>Total 81</v>
      </c>
      <c r="C525" s="31" t="str">
        <f>IF(AND(C518=0,C519=0,C520=0,C521=0,C522=0,C523=0,C524=0),"",SUM(C518:C524))</f>
        <v/>
      </c>
      <c r="D525" s="31" t="str">
        <f>IF(AND(D518=0,D519=0,D520=0,D521=0,D522=0,D523=0,D524=0),"",SUM(D518:D524))</f>
        <v/>
      </c>
      <c r="E525" s="31">
        <f>IF(AND(E518=0,E519=0,E520=0,E521=0,E522=0,E523=0,E524=0),0,SUM(E518:E524))</f>
        <v>0</v>
      </c>
      <c r="F525" s="31">
        <f>IF(AND(F518=0,F519=0,F520=0,F521=0,F522=0,F523=0,F524=0),0,SUM(F518:F524))</f>
        <v>0</v>
      </c>
      <c r="G525" s="32" t="str">
        <f>IF(AND(G518=0,G519=0,G520=0,G521=0,G522=0,G523=0,G524=0),"",AVERAGE(G518:G524))</f>
        <v/>
      </c>
      <c r="H525" s="31">
        <f>IF(AND(H518=0,H519=0,H520=0,H521=0,H522=0,H523=0,H524=0),0,SUM(H518:H524))</f>
        <v>0</v>
      </c>
      <c r="I525" s="31" t="str">
        <f>IF(AND(I518=0,I519=0,I520=0,I521=0,I522=0,I523=0,I524=0),"",SUM(I518:I524))</f>
        <v/>
      </c>
      <c r="J525" s="31">
        <f>IF(AND(J518=0,J519=0,J520=0,J521=0,J522=0,J523=0,J524=0),0,AVERAGE(J518:J524))</f>
        <v>0</v>
      </c>
    </row>
    <row r="526" spans="1:10" x14ac:dyDescent="0.2">
      <c r="A526" s="58">
        <f t="shared" ref="A526:A532" si="122">A518+1</f>
        <v>82</v>
      </c>
      <c r="B526" s="420" t="str">
        <f>IF(B524&lt;&gt;"",B524+1,"")</f>
        <v/>
      </c>
      <c r="C526" s="218"/>
      <c r="D526" s="218"/>
      <c r="E526" s="218"/>
      <c r="F526" s="218"/>
      <c r="G526" s="219"/>
      <c r="H526" s="218"/>
      <c r="I526" s="218"/>
      <c r="J526" s="218"/>
    </row>
    <row r="527" spans="1:10" x14ac:dyDescent="0.2">
      <c r="A527" s="58">
        <f t="shared" si="122"/>
        <v>82</v>
      </c>
      <c r="B527" s="420" t="str">
        <f t="shared" ref="B527:B532" si="123">IF(B526&lt;&gt;"",B526+1,"")</f>
        <v/>
      </c>
      <c r="C527" s="218"/>
      <c r="D527" s="218"/>
      <c r="E527" s="218"/>
      <c r="F527" s="218"/>
      <c r="G527" s="219"/>
      <c r="H527" s="218"/>
      <c r="I527" s="218"/>
      <c r="J527" s="218"/>
    </row>
    <row r="528" spans="1:10" x14ac:dyDescent="0.2">
      <c r="A528" s="58">
        <f t="shared" si="122"/>
        <v>82</v>
      </c>
      <c r="B528" s="420" t="str">
        <f t="shared" si="123"/>
        <v/>
      </c>
      <c r="C528" s="218"/>
      <c r="D528" s="218"/>
      <c r="E528" s="218"/>
      <c r="F528" s="218"/>
      <c r="G528" s="219"/>
      <c r="H528" s="218"/>
      <c r="I528" s="218"/>
      <c r="J528" s="218"/>
    </row>
    <row r="529" spans="1:10" x14ac:dyDescent="0.2">
      <c r="A529" s="59">
        <f t="shared" si="122"/>
        <v>82</v>
      </c>
      <c r="B529" s="420" t="str">
        <f t="shared" si="123"/>
        <v/>
      </c>
      <c r="C529" s="220"/>
      <c r="D529" s="220"/>
      <c r="E529" s="220"/>
      <c r="F529" s="220"/>
      <c r="G529" s="221"/>
      <c r="H529" s="220"/>
      <c r="I529" s="220"/>
      <c r="J529" s="220"/>
    </row>
    <row r="530" spans="1:10" x14ac:dyDescent="0.2">
      <c r="A530" s="59">
        <f t="shared" si="122"/>
        <v>82</v>
      </c>
      <c r="B530" s="420" t="str">
        <f t="shared" si="123"/>
        <v/>
      </c>
      <c r="C530" s="220"/>
      <c r="D530" s="220"/>
      <c r="E530" s="220"/>
      <c r="F530" s="220"/>
      <c r="G530" s="221"/>
      <c r="H530" s="220"/>
      <c r="I530" s="220"/>
      <c r="J530" s="220"/>
    </row>
    <row r="531" spans="1:10" x14ac:dyDescent="0.2">
      <c r="A531" s="59">
        <f t="shared" si="122"/>
        <v>82</v>
      </c>
      <c r="B531" s="420" t="str">
        <f t="shared" si="123"/>
        <v/>
      </c>
      <c r="C531" s="220"/>
      <c r="D531" s="220"/>
      <c r="E531" s="220"/>
      <c r="F531" s="220"/>
      <c r="G531" s="221"/>
      <c r="H531" s="220"/>
      <c r="I531" s="220"/>
      <c r="J531" s="220"/>
    </row>
    <row r="532" spans="1:10" x14ac:dyDescent="0.2">
      <c r="A532" s="60">
        <f t="shared" si="122"/>
        <v>82</v>
      </c>
      <c r="B532" s="420" t="str">
        <f t="shared" si="123"/>
        <v/>
      </c>
      <c r="C532" s="222"/>
      <c r="D532" s="222"/>
      <c r="E532" s="222"/>
      <c r="F532" s="222"/>
      <c r="G532" s="223"/>
      <c r="H532" s="222"/>
      <c r="I532" s="222"/>
      <c r="J532" s="222"/>
    </row>
    <row r="533" spans="1:10" x14ac:dyDescent="0.2">
      <c r="A533" s="30">
        <v>82</v>
      </c>
      <c r="B533" s="419" t="str">
        <f>"Total "&amp;A533</f>
        <v>Total 82</v>
      </c>
      <c r="C533" s="31" t="str">
        <f>IF(AND(C526=0,C527=0,C528=0,C529=0,C530=0,C531=0,C532=0),"",SUM(C526:C532))</f>
        <v/>
      </c>
      <c r="D533" s="31" t="str">
        <f>IF(AND(D526=0,D527=0,D528=0,D529=0,D530=0,D531=0,D532=0),"",SUM(D526:D532))</f>
        <v/>
      </c>
      <c r="E533" s="31">
        <f>IF(AND(E526=0,E527=0,E528=0,E529=0,E530=0,E531=0,E532=0),0,SUM(E526:E532))</f>
        <v>0</v>
      </c>
      <c r="F533" s="31">
        <f>IF(AND(F526=0,F527=0,F528=0,F529=0,F530=0,F531=0,F532=0),0,SUM(F526:F532))</f>
        <v>0</v>
      </c>
      <c r="G533" s="32" t="str">
        <f>IF(AND(G526=0,G527=0,G528=0,G529=0,G530=0,G531=0,G532=0),"",AVERAGE(G526:G532))</f>
        <v/>
      </c>
      <c r="H533" s="31">
        <f>IF(AND(H526=0,H527=0,H528=0,H529=0,H530=0,H531=0,H532=0),0,SUM(H526:H532))</f>
        <v>0</v>
      </c>
      <c r="I533" s="31" t="str">
        <f>IF(AND(I526=0,I527=0,I528=0,I529=0,I530=0,I531=0,I532=0),"",SUM(I526:I532))</f>
        <v/>
      </c>
      <c r="J533" s="31">
        <f>IF(AND(J526=0,J527=0,J528=0,J529=0,J530=0,J531=0,J532=0),0,AVERAGE(J526:J532))</f>
        <v>0</v>
      </c>
    </row>
    <row r="534" spans="1:10" x14ac:dyDescent="0.2">
      <c r="A534" s="58">
        <f t="shared" ref="A534:A540" si="124">A526+1</f>
        <v>83</v>
      </c>
      <c r="B534" s="420" t="str">
        <f>IF(B532&lt;&gt;"",B532+1,"")</f>
        <v/>
      </c>
      <c r="C534" s="218"/>
      <c r="D534" s="218"/>
      <c r="E534" s="218"/>
      <c r="F534" s="218"/>
      <c r="G534" s="219"/>
      <c r="H534" s="218"/>
      <c r="I534" s="218"/>
      <c r="J534" s="218"/>
    </row>
    <row r="535" spans="1:10" x14ac:dyDescent="0.2">
      <c r="A535" s="58">
        <f t="shared" si="124"/>
        <v>83</v>
      </c>
      <c r="B535" s="420" t="str">
        <f t="shared" ref="B535:B540" si="125">IF(B534&lt;&gt;"",B534+1,"")</f>
        <v/>
      </c>
      <c r="C535" s="218"/>
      <c r="D535" s="218"/>
      <c r="E535" s="218"/>
      <c r="F535" s="218"/>
      <c r="G535" s="219"/>
      <c r="H535" s="218"/>
      <c r="I535" s="218"/>
      <c r="J535" s="218"/>
    </row>
    <row r="536" spans="1:10" x14ac:dyDescent="0.2">
      <c r="A536" s="58">
        <f t="shared" si="124"/>
        <v>83</v>
      </c>
      <c r="B536" s="420" t="str">
        <f t="shared" si="125"/>
        <v/>
      </c>
      <c r="C536" s="218"/>
      <c r="D536" s="218"/>
      <c r="E536" s="218"/>
      <c r="F536" s="218"/>
      <c r="G536" s="219"/>
      <c r="H536" s="218"/>
      <c r="I536" s="218"/>
      <c r="J536" s="218"/>
    </row>
    <row r="537" spans="1:10" x14ac:dyDescent="0.2">
      <c r="A537" s="59">
        <f t="shared" si="124"/>
        <v>83</v>
      </c>
      <c r="B537" s="420" t="str">
        <f t="shared" si="125"/>
        <v/>
      </c>
      <c r="C537" s="220"/>
      <c r="D537" s="220"/>
      <c r="E537" s="220"/>
      <c r="F537" s="220"/>
      <c r="G537" s="221"/>
      <c r="H537" s="220"/>
      <c r="I537" s="220"/>
      <c r="J537" s="220"/>
    </row>
    <row r="538" spans="1:10" x14ac:dyDescent="0.2">
      <c r="A538" s="59">
        <f t="shared" si="124"/>
        <v>83</v>
      </c>
      <c r="B538" s="420" t="str">
        <f t="shared" si="125"/>
        <v/>
      </c>
      <c r="C538" s="220"/>
      <c r="D538" s="220"/>
      <c r="E538" s="220"/>
      <c r="F538" s="220"/>
      <c r="G538" s="221"/>
      <c r="H538" s="220"/>
      <c r="I538" s="220"/>
      <c r="J538" s="220"/>
    </row>
    <row r="539" spans="1:10" x14ac:dyDescent="0.2">
      <c r="A539" s="59">
        <f t="shared" si="124"/>
        <v>83</v>
      </c>
      <c r="B539" s="420" t="str">
        <f t="shared" si="125"/>
        <v/>
      </c>
      <c r="C539" s="220"/>
      <c r="D539" s="220"/>
      <c r="E539" s="220"/>
      <c r="F539" s="220"/>
      <c r="G539" s="221"/>
      <c r="H539" s="220"/>
      <c r="I539" s="220"/>
      <c r="J539" s="220"/>
    </row>
    <row r="540" spans="1:10" x14ac:dyDescent="0.2">
      <c r="A540" s="60">
        <f t="shared" si="124"/>
        <v>83</v>
      </c>
      <c r="B540" s="420" t="str">
        <f t="shared" si="125"/>
        <v/>
      </c>
      <c r="C540" s="222"/>
      <c r="D540" s="222"/>
      <c r="E540" s="222"/>
      <c r="F540" s="222"/>
      <c r="G540" s="223"/>
      <c r="H540" s="222"/>
      <c r="I540" s="222"/>
      <c r="J540" s="222"/>
    </row>
    <row r="541" spans="1:10" x14ac:dyDescent="0.2">
      <c r="A541" s="30">
        <v>83</v>
      </c>
      <c r="B541" s="419" t="str">
        <f>"Total "&amp;A541</f>
        <v>Total 83</v>
      </c>
      <c r="C541" s="31" t="str">
        <f>IF(AND(C534=0,C535=0,C536=0,C537=0,C538=0,C539=0,C540=0),"",SUM(C534:C540))</f>
        <v/>
      </c>
      <c r="D541" s="31" t="str">
        <f>IF(AND(D534=0,D535=0,D536=0,D537=0,D538=0,D539=0,D540=0),"",SUM(D534:D540))</f>
        <v/>
      </c>
      <c r="E541" s="31">
        <f>IF(AND(E534=0,E535=0,E536=0,E537=0,E538=0,E539=0,E540=0),0,SUM(E534:E540))</f>
        <v>0</v>
      </c>
      <c r="F541" s="31">
        <f>IF(AND(F534=0,F535=0,F536=0,F537=0,F538=0,F539=0,F540=0),0,SUM(F534:F540))</f>
        <v>0</v>
      </c>
      <c r="G541" s="32" t="str">
        <f>IF(AND(G534=0,G535=0,G536=0,G537=0,G538=0,G539=0,G540=0),"",AVERAGE(G534:G540))</f>
        <v/>
      </c>
      <c r="H541" s="31">
        <f>IF(AND(H534=0,H535=0,H536=0,H537=0,H538=0,H539=0,H540=0),0,SUM(H534:H540))</f>
        <v>0</v>
      </c>
      <c r="I541" s="31" t="str">
        <f>IF(AND(I534=0,I535=0,I536=0,I537=0,I538=0,I539=0,I540=0),"",SUM(I534:I540))</f>
        <v/>
      </c>
      <c r="J541" s="31">
        <f>IF(AND(J534=0,J535=0,J536=0,J537=0,J538=0,J539=0,J540=0),0,AVERAGE(J534:J540))</f>
        <v>0</v>
      </c>
    </row>
    <row r="542" spans="1:10" x14ac:dyDescent="0.2">
      <c r="A542" s="58">
        <f t="shared" ref="A542:A548" si="126">A534+1</f>
        <v>84</v>
      </c>
      <c r="B542" s="420" t="str">
        <f>IF(B540&lt;&gt;"",B540+1,"")</f>
        <v/>
      </c>
      <c r="C542" s="218"/>
      <c r="D542" s="218"/>
      <c r="E542" s="218"/>
      <c r="F542" s="218"/>
      <c r="G542" s="219"/>
      <c r="H542" s="218"/>
      <c r="I542" s="218"/>
      <c r="J542" s="218"/>
    </row>
    <row r="543" spans="1:10" x14ac:dyDescent="0.2">
      <c r="A543" s="58">
        <f t="shared" si="126"/>
        <v>84</v>
      </c>
      <c r="B543" s="420" t="str">
        <f t="shared" ref="B543:B548" si="127">IF(B542&lt;&gt;"",B542+1,"")</f>
        <v/>
      </c>
      <c r="C543" s="218"/>
      <c r="D543" s="218"/>
      <c r="E543" s="218"/>
      <c r="F543" s="218"/>
      <c r="G543" s="219"/>
      <c r="H543" s="218"/>
      <c r="I543" s="218"/>
      <c r="J543" s="218"/>
    </row>
    <row r="544" spans="1:10" x14ac:dyDescent="0.2">
      <c r="A544" s="58">
        <f t="shared" si="126"/>
        <v>84</v>
      </c>
      <c r="B544" s="420" t="str">
        <f t="shared" si="127"/>
        <v/>
      </c>
      <c r="C544" s="218"/>
      <c r="D544" s="218"/>
      <c r="E544" s="218"/>
      <c r="F544" s="218"/>
      <c r="G544" s="219"/>
      <c r="H544" s="218"/>
      <c r="I544" s="218"/>
      <c r="J544" s="218"/>
    </row>
    <row r="545" spans="1:10" x14ac:dyDescent="0.2">
      <c r="A545" s="59">
        <f t="shared" si="126"/>
        <v>84</v>
      </c>
      <c r="B545" s="420" t="str">
        <f t="shared" si="127"/>
        <v/>
      </c>
      <c r="C545" s="220"/>
      <c r="D545" s="220"/>
      <c r="E545" s="220"/>
      <c r="F545" s="220"/>
      <c r="G545" s="221"/>
      <c r="H545" s="220"/>
      <c r="I545" s="220"/>
      <c r="J545" s="220"/>
    </row>
    <row r="546" spans="1:10" x14ac:dyDescent="0.2">
      <c r="A546" s="59">
        <f t="shared" si="126"/>
        <v>84</v>
      </c>
      <c r="B546" s="420" t="str">
        <f t="shared" si="127"/>
        <v/>
      </c>
      <c r="C546" s="220"/>
      <c r="D546" s="220"/>
      <c r="E546" s="220"/>
      <c r="F546" s="220"/>
      <c r="G546" s="221"/>
      <c r="H546" s="220"/>
      <c r="I546" s="220"/>
      <c r="J546" s="220"/>
    </row>
    <row r="547" spans="1:10" x14ac:dyDescent="0.2">
      <c r="A547" s="59">
        <f t="shared" si="126"/>
        <v>84</v>
      </c>
      <c r="B547" s="420" t="str">
        <f t="shared" si="127"/>
        <v/>
      </c>
      <c r="C547" s="220"/>
      <c r="D547" s="220"/>
      <c r="E547" s="220"/>
      <c r="F547" s="220"/>
      <c r="G547" s="221"/>
      <c r="H547" s="220"/>
      <c r="I547" s="220"/>
      <c r="J547" s="220"/>
    </row>
    <row r="548" spans="1:10" x14ac:dyDescent="0.2">
      <c r="A548" s="60">
        <f t="shared" si="126"/>
        <v>84</v>
      </c>
      <c r="B548" s="420" t="str">
        <f t="shared" si="127"/>
        <v/>
      </c>
      <c r="C548" s="222"/>
      <c r="D548" s="222"/>
      <c r="E548" s="222"/>
      <c r="F548" s="222"/>
      <c r="G548" s="223"/>
      <c r="H548" s="222"/>
      <c r="I548" s="222"/>
      <c r="J548" s="222"/>
    </row>
    <row r="549" spans="1:10" x14ac:dyDescent="0.2">
      <c r="A549" s="30">
        <v>84</v>
      </c>
      <c r="B549" s="419" t="str">
        <f>"Total "&amp;A549</f>
        <v>Total 84</v>
      </c>
      <c r="C549" s="31" t="str">
        <f>IF(AND(C542=0,C543=0,C544=0,C545=0,C546=0,C547=0,C548=0),"",SUM(C542:C548))</f>
        <v/>
      </c>
      <c r="D549" s="31" t="str">
        <f>IF(AND(D542=0,D543=0,D544=0,D545=0,D546=0,D547=0,D548=0),"",SUM(D542:D548))</f>
        <v/>
      </c>
      <c r="E549" s="31">
        <f>IF(AND(E542=0,E543=0,E544=0,E545=0,E546=0,E547=0,E548=0),0,SUM(E542:E548))</f>
        <v>0</v>
      </c>
      <c r="F549" s="31">
        <f>IF(AND(F542=0,F543=0,F544=0,F545=0,F546=0,F547=0,F548=0),0,SUM(F542:F548))</f>
        <v>0</v>
      </c>
      <c r="G549" s="32" t="str">
        <f>IF(AND(G542=0,G543=0,G544=0,G545=0,G546=0,G547=0,G548=0),"",AVERAGE(G542:G548))</f>
        <v/>
      </c>
      <c r="H549" s="31">
        <f>IF(AND(H542=0,H543=0,H544=0,H545=0,H546=0,H547=0,H548=0),0,SUM(H542:H548))</f>
        <v>0</v>
      </c>
      <c r="I549" s="31" t="str">
        <f>IF(AND(I542=0,I543=0,I544=0,I545=0,I546=0,I547=0,I548=0),"",SUM(I542:I548))</f>
        <v/>
      </c>
      <c r="J549" s="31">
        <f>IF(AND(J542=0,J543=0,J544=0,J545=0,J546=0,J547=0,J548=0),0,AVERAGE(J542:J548))</f>
        <v>0</v>
      </c>
    </row>
    <row r="550" spans="1:10" x14ac:dyDescent="0.2">
      <c r="A550" s="58">
        <f t="shared" ref="A550:A556" si="128">A542+1</f>
        <v>85</v>
      </c>
      <c r="B550" s="420" t="str">
        <f>IF(B548&lt;&gt;"",B548+1,"")</f>
        <v/>
      </c>
      <c r="C550" s="218"/>
      <c r="D550" s="218"/>
      <c r="E550" s="218"/>
      <c r="F550" s="218"/>
      <c r="G550" s="219"/>
      <c r="H550" s="218"/>
      <c r="I550" s="218"/>
      <c r="J550" s="218"/>
    </row>
    <row r="551" spans="1:10" x14ac:dyDescent="0.2">
      <c r="A551" s="58">
        <f t="shared" si="128"/>
        <v>85</v>
      </c>
      <c r="B551" s="420" t="str">
        <f t="shared" ref="B551:B556" si="129">IF(B550&lt;&gt;"",B550+1,"")</f>
        <v/>
      </c>
      <c r="C551" s="218"/>
      <c r="D551" s="218"/>
      <c r="E551" s="218"/>
      <c r="F551" s="218"/>
      <c r="G551" s="219"/>
      <c r="H551" s="218"/>
      <c r="I551" s="218"/>
      <c r="J551" s="218"/>
    </row>
    <row r="552" spans="1:10" x14ac:dyDescent="0.2">
      <c r="A552" s="58">
        <f t="shared" si="128"/>
        <v>85</v>
      </c>
      <c r="B552" s="420" t="str">
        <f t="shared" si="129"/>
        <v/>
      </c>
      <c r="C552" s="218"/>
      <c r="D552" s="218"/>
      <c r="E552" s="218"/>
      <c r="F552" s="218"/>
      <c r="G552" s="219"/>
      <c r="H552" s="218"/>
      <c r="I552" s="218"/>
      <c r="J552" s="218"/>
    </row>
    <row r="553" spans="1:10" x14ac:dyDescent="0.2">
      <c r="A553" s="59">
        <f t="shared" si="128"/>
        <v>85</v>
      </c>
      <c r="B553" s="420" t="str">
        <f t="shared" si="129"/>
        <v/>
      </c>
      <c r="C553" s="220"/>
      <c r="D553" s="220"/>
      <c r="E553" s="220"/>
      <c r="F553" s="220"/>
      <c r="G553" s="221"/>
      <c r="H553" s="220"/>
      <c r="I553" s="220"/>
      <c r="J553" s="220"/>
    </row>
    <row r="554" spans="1:10" x14ac:dyDescent="0.2">
      <c r="A554" s="59">
        <f t="shared" si="128"/>
        <v>85</v>
      </c>
      <c r="B554" s="420" t="str">
        <f t="shared" si="129"/>
        <v/>
      </c>
      <c r="C554" s="220"/>
      <c r="D554" s="220"/>
      <c r="E554" s="220"/>
      <c r="F554" s="220"/>
      <c r="G554" s="221"/>
      <c r="H554" s="220"/>
      <c r="I554" s="220"/>
      <c r="J554" s="220"/>
    </row>
    <row r="555" spans="1:10" x14ac:dyDescent="0.2">
      <c r="A555" s="59">
        <f t="shared" si="128"/>
        <v>85</v>
      </c>
      <c r="B555" s="420" t="str">
        <f t="shared" si="129"/>
        <v/>
      </c>
      <c r="C555" s="220"/>
      <c r="D555" s="220"/>
      <c r="E555" s="220"/>
      <c r="F555" s="220"/>
      <c r="G555" s="221"/>
      <c r="H555" s="220"/>
      <c r="I555" s="220"/>
      <c r="J555" s="220"/>
    </row>
    <row r="556" spans="1:10" x14ac:dyDescent="0.2">
      <c r="A556" s="60">
        <f t="shared" si="128"/>
        <v>85</v>
      </c>
      <c r="B556" s="420" t="str">
        <f t="shared" si="129"/>
        <v/>
      </c>
      <c r="C556" s="222"/>
      <c r="D556" s="222"/>
      <c r="E556" s="222"/>
      <c r="F556" s="222"/>
      <c r="G556" s="223"/>
      <c r="H556" s="222"/>
      <c r="I556" s="222"/>
      <c r="J556" s="222"/>
    </row>
    <row r="557" spans="1:10" x14ac:dyDescent="0.2">
      <c r="A557" s="30">
        <v>85</v>
      </c>
      <c r="B557" s="419" t="str">
        <f>"Total "&amp;A557</f>
        <v>Total 85</v>
      </c>
      <c r="C557" s="31" t="str">
        <f>IF(AND(C550=0,C551=0,C552=0,C553=0,C554=0,C555=0,C556=0),"",SUM(C550:C556))</f>
        <v/>
      </c>
      <c r="D557" s="31" t="str">
        <f>IF(AND(D550=0,D551=0,D552=0,D553=0,D554=0,D555=0,D556=0),"",SUM(D550:D556))</f>
        <v/>
      </c>
      <c r="E557" s="31">
        <f>IF(AND(E550=0,E551=0,E552=0,E553=0,E554=0,E555=0,E556=0),0,SUM(E550:E556))</f>
        <v>0</v>
      </c>
      <c r="F557" s="31">
        <f>IF(AND(F550=0,F551=0,F552=0,F553=0,F554=0,F555=0,F556=0),0,SUM(F550:F556))</f>
        <v>0</v>
      </c>
      <c r="G557" s="32" t="str">
        <f>IF(AND(G550=0,G551=0,G552=0,G553=0,G554=0,G555=0,G556=0),"",AVERAGE(G550:G556))</f>
        <v/>
      </c>
      <c r="H557" s="31">
        <f>IF(AND(H550=0,H551=0,H552=0,H553=0,H554=0,H555=0,H556=0),0,SUM(H550:H556))</f>
        <v>0</v>
      </c>
      <c r="I557" s="31" t="str">
        <f>IF(AND(I550=0,I551=0,I552=0,I553=0,I554=0,I555=0,I556=0),"",SUM(I550:I556))</f>
        <v/>
      </c>
      <c r="J557" s="31">
        <f>IF(AND(J550=0,J551=0,J552=0,J553=0,J554=0,J555=0,J556=0),0,AVERAGE(J550:J556))</f>
        <v>0</v>
      </c>
    </row>
    <row r="558" spans="1:10" x14ac:dyDescent="0.2">
      <c r="A558" s="58">
        <f t="shared" ref="A558:A564" si="130">A550+1</f>
        <v>86</v>
      </c>
      <c r="B558" s="420" t="str">
        <f>IF(B556&lt;&gt;"",B556+1,"")</f>
        <v/>
      </c>
      <c r="C558" s="218"/>
      <c r="D558" s="218"/>
      <c r="E558" s="218"/>
      <c r="F558" s="218"/>
      <c r="G558" s="219"/>
      <c r="H558" s="218"/>
      <c r="I558" s="218"/>
      <c r="J558" s="218"/>
    </row>
    <row r="559" spans="1:10" x14ac:dyDescent="0.2">
      <c r="A559" s="58">
        <f t="shared" si="130"/>
        <v>86</v>
      </c>
      <c r="B559" s="420" t="str">
        <f t="shared" ref="B559:B564" si="131">IF(B558&lt;&gt;"",B558+1,"")</f>
        <v/>
      </c>
      <c r="C559" s="218"/>
      <c r="D559" s="218"/>
      <c r="E559" s="218"/>
      <c r="F559" s="218"/>
      <c r="G559" s="219"/>
      <c r="H559" s="218"/>
      <c r="I559" s="218"/>
      <c r="J559" s="218"/>
    </row>
    <row r="560" spans="1:10" x14ac:dyDescent="0.2">
      <c r="A560" s="58">
        <f t="shared" si="130"/>
        <v>86</v>
      </c>
      <c r="B560" s="420" t="str">
        <f t="shared" si="131"/>
        <v/>
      </c>
      <c r="C560" s="218"/>
      <c r="D560" s="218"/>
      <c r="E560" s="218"/>
      <c r="F560" s="218"/>
      <c r="G560" s="219"/>
      <c r="H560" s="218"/>
      <c r="I560" s="218"/>
      <c r="J560" s="218"/>
    </row>
    <row r="561" spans="1:10" x14ac:dyDescent="0.2">
      <c r="A561" s="59">
        <f t="shared" si="130"/>
        <v>86</v>
      </c>
      <c r="B561" s="420" t="str">
        <f t="shared" si="131"/>
        <v/>
      </c>
      <c r="C561" s="220"/>
      <c r="D561" s="220"/>
      <c r="E561" s="220"/>
      <c r="F561" s="220"/>
      <c r="G561" s="221"/>
      <c r="H561" s="220"/>
      <c r="I561" s="220"/>
      <c r="J561" s="220"/>
    </row>
    <row r="562" spans="1:10" x14ac:dyDescent="0.2">
      <c r="A562" s="59">
        <f t="shared" si="130"/>
        <v>86</v>
      </c>
      <c r="B562" s="420" t="str">
        <f t="shared" si="131"/>
        <v/>
      </c>
      <c r="C562" s="220"/>
      <c r="D562" s="220"/>
      <c r="E562" s="220"/>
      <c r="F562" s="220"/>
      <c r="G562" s="221"/>
      <c r="H562" s="220"/>
      <c r="I562" s="220"/>
      <c r="J562" s="220"/>
    </row>
    <row r="563" spans="1:10" x14ac:dyDescent="0.2">
      <c r="A563" s="59">
        <f t="shared" si="130"/>
        <v>86</v>
      </c>
      <c r="B563" s="420" t="str">
        <f t="shared" si="131"/>
        <v/>
      </c>
      <c r="C563" s="220"/>
      <c r="D563" s="220"/>
      <c r="E563" s="220"/>
      <c r="F563" s="220"/>
      <c r="G563" s="221"/>
      <c r="H563" s="220"/>
      <c r="I563" s="220"/>
      <c r="J563" s="220"/>
    </row>
    <row r="564" spans="1:10" x14ac:dyDescent="0.2">
      <c r="A564" s="60">
        <f t="shared" si="130"/>
        <v>86</v>
      </c>
      <c r="B564" s="420" t="str">
        <f t="shared" si="131"/>
        <v/>
      </c>
      <c r="C564" s="222"/>
      <c r="D564" s="222"/>
      <c r="E564" s="222"/>
      <c r="F564" s="222"/>
      <c r="G564" s="223"/>
      <c r="H564" s="222"/>
      <c r="I564" s="222"/>
      <c r="J564" s="222"/>
    </row>
    <row r="565" spans="1:10" x14ac:dyDescent="0.2">
      <c r="A565" s="30">
        <v>86</v>
      </c>
      <c r="B565" s="419" t="str">
        <f>"Total "&amp;A565</f>
        <v>Total 86</v>
      </c>
      <c r="C565" s="31" t="str">
        <f>IF(AND(C558=0,C559=0,C560=0,C561=0,C562=0,C563=0,C564=0),"",SUM(C558:C564))</f>
        <v/>
      </c>
      <c r="D565" s="31" t="str">
        <f>IF(AND(D558=0,D559=0,D560=0,D561=0,D562=0,D563=0,D564=0),"",SUM(D558:D564))</f>
        <v/>
      </c>
      <c r="E565" s="31">
        <f>IF(AND(E558=0,E559=0,E560=0,E561=0,E562=0,E563=0,E564=0),0,SUM(E558:E564))</f>
        <v>0</v>
      </c>
      <c r="F565" s="31">
        <f>IF(AND(F558=0,F559=0,F560=0,F561=0,F562=0,F563=0,F564=0),0,SUM(F558:F564))</f>
        <v>0</v>
      </c>
      <c r="G565" s="32" t="str">
        <f>IF(AND(G558=0,G559=0,G560=0,G561=0,G562=0,G563=0,G564=0),"",AVERAGE(G558:G564))</f>
        <v/>
      </c>
      <c r="H565" s="31">
        <f>IF(AND(H558=0,H559=0,H560=0,H561=0,H562=0,H563=0,H564=0),0,SUM(H558:H564))</f>
        <v>0</v>
      </c>
      <c r="I565" s="31" t="str">
        <f>IF(AND(I558=0,I559=0,I560=0,I561=0,I562=0,I563=0,I564=0),"",SUM(I558:I564))</f>
        <v/>
      </c>
      <c r="J565" s="31">
        <f>IF(AND(J558=0,J559=0,J560=0,J561=0,J562=0,J563=0,J564=0),0,AVERAGE(J558:J564))</f>
        <v>0</v>
      </c>
    </row>
    <row r="566" spans="1:10" x14ac:dyDescent="0.2">
      <c r="A566" s="58">
        <f t="shared" ref="A566:A588" si="132">A558+1</f>
        <v>87</v>
      </c>
      <c r="B566" s="420" t="str">
        <f>IF(B564&lt;&gt;"",B564+1,"")</f>
        <v/>
      </c>
      <c r="C566" s="218"/>
      <c r="D566" s="218"/>
      <c r="E566" s="218"/>
      <c r="F566" s="218"/>
      <c r="G566" s="219"/>
      <c r="H566" s="218"/>
      <c r="I566" s="218"/>
      <c r="J566" s="218"/>
    </row>
    <row r="567" spans="1:10" x14ac:dyDescent="0.2">
      <c r="A567" s="58">
        <f t="shared" si="132"/>
        <v>87</v>
      </c>
      <c r="B567" s="420" t="str">
        <f t="shared" ref="B567:B572" si="133">IF(B566&lt;&gt;"",B566+1,"")</f>
        <v/>
      </c>
      <c r="C567" s="218"/>
      <c r="D567" s="218"/>
      <c r="E567" s="218"/>
      <c r="F567" s="218"/>
      <c r="G567" s="219"/>
      <c r="H567" s="218"/>
      <c r="I567" s="218"/>
      <c r="J567" s="218"/>
    </row>
    <row r="568" spans="1:10" x14ac:dyDescent="0.2">
      <c r="A568" s="58">
        <f t="shared" si="132"/>
        <v>87</v>
      </c>
      <c r="B568" s="420" t="str">
        <f t="shared" si="133"/>
        <v/>
      </c>
      <c r="C568" s="218"/>
      <c r="D568" s="218"/>
      <c r="E568" s="218"/>
      <c r="F568" s="218"/>
      <c r="G568" s="219"/>
      <c r="H568" s="218"/>
      <c r="I568" s="218"/>
      <c r="J568" s="218"/>
    </row>
    <row r="569" spans="1:10" x14ac:dyDescent="0.2">
      <c r="A569" s="59">
        <f t="shared" si="132"/>
        <v>87</v>
      </c>
      <c r="B569" s="420" t="str">
        <f t="shared" si="133"/>
        <v/>
      </c>
      <c r="C569" s="220"/>
      <c r="D569" s="220"/>
      <c r="E569" s="220"/>
      <c r="F569" s="220"/>
      <c r="G569" s="221"/>
      <c r="H569" s="220"/>
      <c r="I569" s="220"/>
      <c r="J569" s="220"/>
    </row>
    <row r="570" spans="1:10" x14ac:dyDescent="0.2">
      <c r="A570" s="59">
        <f t="shared" si="132"/>
        <v>87</v>
      </c>
      <c r="B570" s="420" t="str">
        <f t="shared" si="133"/>
        <v/>
      </c>
      <c r="C570" s="220"/>
      <c r="D570" s="220"/>
      <c r="E570" s="220"/>
      <c r="F570" s="220"/>
      <c r="G570" s="221"/>
      <c r="H570" s="220"/>
      <c r="I570" s="220"/>
      <c r="J570" s="220"/>
    </row>
    <row r="571" spans="1:10" x14ac:dyDescent="0.2">
      <c r="A571" s="59">
        <f t="shared" si="132"/>
        <v>87</v>
      </c>
      <c r="B571" s="420" t="str">
        <f t="shared" si="133"/>
        <v/>
      </c>
      <c r="C571" s="220"/>
      <c r="D571" s="220"/>
      <c r="E571" s="220"/>
      <c r="F571" s="220"/>
      <c r="G571" s="221"/>
      <c r="H571" s="220"/>
      <c r="I571" s="220"/>
      <c r="J571" s="220"/>
    </row>
    <row r="572" spans="1:10" x14ac:dyDescent="0.2">
      <c r="A572" s="60">
        <f t="shared" si="132"/>
        <v>87</v>
      </c>
      <c r="B572" s="420" t="str">
        <f t="shared" si="133"/>
        <v/>
      </c>
      <c r="C572" s="222"/>
      <c r="D572" s="222"/>
      <c r="E572" s="222"/>
      <c r="F572" s="222"/>
      <c r="G572" s="223"/>
      <c r="H572" s="222"/>
      <c r="I572" s="222"/>
      <c r="J572" s="222"/>
    </row>
    <row r="573" spans="1:10" x14ac:dyDescent="0.2">
      <c r="A573" s="30">
        <v>87</v>
      </c>
      <c r="B573" s="419" t="str">
        <f>"Total "&amp;A573</f>
        <v>Total 87</v>
      </c>
      <c r="C573" s="31" t="str">
        <f>IF(AND(C566=0,C567=0,C568=0,C569=0,C570=0,C571=0,C572=0),"",SUM(C566:C572))</f>
        <v/>
      </c>
      <c r="D573" s="31" t="str">
        <f>IF(AND(D566=0,D567=0,D568=0,D569=0,D570=0,D571=0,D572=0),"",SUM(D566:D572))</f>
        <v/>
      </c>
      <c r="E573" s="31">
        <f>IF(AND(E566=0,E567=0,E568=0,E569=0,E570=0,E571=0,E572=0),0,SUM(E566:E572))</f>
        <v>0</v>
      </c>
      <c r="F573" s="31">
        <f>IF(AND(F566=0,F567=0,F568=0,F569=0,F570=0,F571=0,F572=0),0,SUM(F566:F572))</f>
        <v>0</v>
      </c>
      <c r="G573" s="32" t="str">
        <f>IF(AND(G566=0,G567=0,G568=0,G569=0,G570=0,G571=0,G572=0),"",AVERAGE(G566:G572))</f>
        <v/>
      </c>
      <c r="H573" s="31">
        <f>IF(AND(H566=0,H567=0,H568=0,H569=0,H570=0,H571=0,H572=0),0,SUM(H566:H572))</f>
        <v>0</v>
      </c>
      <c r="I573" s="31" t="str">
        <f>IF(AND(I566=0,I567=0,I568=0,I569=0,I570=0,I571=0,I572=0),"",SUM(I566:I572))</f>
        <v/>
      </c>
      <c r="J573" s="31">
        <f>IF(AND(J566=0,J567=0,J568=0,J569=0,J570=0,J571=0,J572=0),0,AVERAGE(J566:J572))</f>
        <v>0</v>
      </c>
    </row>
    <row r="574" spans="1:10" x14ac:dyDescent="0.2">
      <c r="A574" s="58">
        <f t="shared" ref="A574:A596" si="134">A566+1</f>
        <v>88</v>
      </c>
      <c r="B574" s="420" t="str">
        <f>IF(B572&lt;&gt;"",B572+1,"")</f>
        <v/>
      </c>
      <c r="C574" s="218"/>
      <c r="D574" s="218"/>
      <c r="E574" s="218"/>
      <c r="F574" s="218"/>
      <c r="G574" s="219"/>
      <c r="H574" s="218"/>
      <c r="I574" s="218"/>
      <c r="J574" s="218"/>
    </row>
    <row r="575" spans="1:10" x14ac:dyDescent="0.2">
      <c r="A575" s="58">
        <f t="shared" si="134"/>
        <v>88</v>
      </c>
      <c r="B575" s="420" t="str">
        <f t="shared" ref="B575:B580" si="135">IF(B574&lt;&gt;"",B574+1,"")</f>
        <v/>
      </c>
      <c r="C575" s="218"/>
      <c r="D575" s="218"/>
      <c r="E575" s="218"/>
      <c r="F575" s="218"/>
      <c r="G575" s="219"/>
      <c r="H575" s="218"/>
      <c r="I575" s="218"/>
      <c r="J575" s="218"/>
    </row>
    <row r="576" spans="1:10" x14ac:dyDescent="0.2">
      <c r="A576" s="58">
        <f t="shared" si="134"/>
        <v>88</v>
      </c>
      <c r="B576" s="420" t="str">
        <f t="shared" si="135"/>
        <v/>
      </c>
      <c r="C576" s="218"/>
      <c r="D576" s="218"/>
      <c r="E576" s="218"/>
      <c r="F576" s="218"/>
      <c r="G576" s="219"/>
      <c r="H576" s="218"/>
      <c r="I576" s="218"/>
      <c r="J576" s="218"/>
    </row>
    <row r="577" spans="1:10" x14ac:dyDescent="0.2">
      <c r="A577" s="59">
        <f t="shared" si="134"/>
        <v>88</v>
      </c>
      <c r="B577" s="420" t="str">
        <f t="shared" si="135"/>
        <v/>
      </c>
      <c r="C577" s="220"/>
      <c r="D577" s="220"/>
      <c r="E577" s="220"/>
      <c r="F577" s="220"/>
      <c r="G577" s="221"/>
      <c r="H577" s="220"/>
      <c r="I577" s="220"/>
      <c r="J577" s="220"/>
    </row>
    <row r="578" spans="1:10" x14ac:dyDescent="0.2">
      <c r="A578" s="59">
        <f t="shared" si="134"/>
        <v>88</v>
      </c>
      <c r="B578" s="420" t="str">
        <f t="shared" si="135"/>
        <v/>
      </c>
      <c r="C578" s="220"/>
      <c r="D578" s="220"/>
      <c r="E578" s="220"/>
      <c r="F578" s="220"/>
      <c r="G578" s="221"/>
      <c r="H578" s="220"/>
      <c r="I578" s="220"/>
      <c r="J578" s="220"/>
    </row>
    <row r="579" spans="1:10" x14ac:dyDescent="0.2">
      <c r="A579" s="59">
        <f t="shared" si="134"/>
        <v>88</v>
      </c>
      <c r="B579" s="420" t="str">
        <f t="shared" si="135"/>
        <v/>
      </c>
      <c r="C579" s="220"/>
      <c r="D579" s="220"/>
      <c r="E579" s="220"/>
      <c r="F579" s="220"/>
      <c r="G579" s="221"/>
      <c r="H579" s="220"/>
      <c r="I579" s="220"/>
      <c r="J579" s="220"/>
    </row>
    <row r="580" spans="1:10" x14ac:dyDescent="0.2">
      <c r="A580" s="60">
        <f t="shared" si="134"/>
        <v>88</v>
      </c>
      <c r="B580" s="420" t="str">
        <f t="shared" si="135"/>
        <v/>
      </c>
      <c r="C580" s="222"/>
      <c r="D580" s="222"/>
      <c r="E580" s="222"/>
      <c r="F580" s="222"/>
      <c r="G580" s="223"/>
      <c r="H580" s="222"/>
      <c r="I580" s="222"/>
      <c r="J580" s="222"/>
    </row>
    <row r="581" spans="1:10" x14ac:dyDescent="0.2">
      <c r="A581" s="30">
        <v>88</v>
      </c>
      <c r="B581" s="419" t="str">
        <f>"Total "&amp;A581</f>
        <v>Total 88</v>
      </c>
      <c r="C581" s="31" t="str">
        <f>IF(AND(C574=0,C575=0,C576=0,C577=0,C578=0,C579=0,C580=0),"",SUM(C574:C580))</f>
        <v/>
      </c>
      <c r="D581" s="31" t="str">
        <f>IF(AND(D574=0,D575=0,D576=0,D577=0,D578=0,D579=0,D580=0),"",SUM(D574:D580))</f>
        <v/>
      </c>
      <c r="E581" s="31">
        <f>IF(AND(E574=0,E575=0,E576=0,E577=0,E578=0,E579=0,E580=0),0,SUM(E574:E580))</f>
        <v>0</v>
      </c>
      <c r="F581" s="31">
        <f>IF(AND(F574=0,F575=0,F576=0,F577=0,F578=0,F579=0,F580=0),0,SUM(F574:F580))</f>
        <v>0</v>
      </c>
      <c r="G581" s="32" t="str">
        <f>IF(AND(G574=0,G575=0,G576=0,G577=0,G578=0,G579=0,G580=0),"",AVERAGE(G574:G580))</f>
        <v/>
      </c>
      <c r="H581" s="31">
        <f>IF(AND(H574=0,H575=0,H576=0,H577=0,H578=0,H579=0,H580=0),0,SUM(H574:H580))</f>
        <v>0</v>
      </c>
      <c r="I581" s="31" t="str">
        <f>IF(AND(I574=0,I575=0,I576=0,I577=0,I578=0,I579=0,I580=0),"",SUM(I574:I580))</f>
        <v/>
      </c>
      <c r="J581" s="31">
        <f>IF(AND(J574=0,J575=0,J576=0,J577=0,J578=0,J579=0,J580=0),0,AVERAGE(J574:J580))</f>
        <v>0</v>
      </c>
    </row>
    <row r="582" spans="1:10" x14ac:dyDescent="0.2">
      <c r="A582" s="58">
        <f>A574+1</f>
        <v>89</v>
      </c>
      <c r="B582" s="420" t="str">
        <f>IF(B580&lt;&gt;"",B580+1,"")</f>
        <v/>
      </c>
      <c r="C582" s="218"/>
      <c r="D582" s="218"/>
      <c r="E582" s="218"/>
      <c r="F582" s="218"/>
      <c r="G582" s="219"/>
      <c r="H582" s="218"/>
      <c r="I582" s="218"/>
      <c r="J582" s="218"/>
    </row>
    <row r="583" spans="1:10" x14ac:dyDescent="0.2">
      <c r="A583" s="58">
        <f t="shared" si="132"/>
        <v>89</v>
      </c>
      <c r="B583" s="420" t="str">
        <f t="shared" ref="B583:B588" si="136">IF(B582&lt;&gt;"",B582+1,"")</f>
        <v/>
      </c>
      <c r="C583" s="218"/>
      <c r="D583" s="218"/>
      <c r="E583" s="218"/>
      <c r="F583" s="218"/>
      <c r="G583" s="219"/>
      <c r="H583" s="218"/>
      <c r="I583" s="218"/>
      <c r="J583" s="218"/>
    </row>
    <row r="584" spans="1:10" x14ac:dyDescent="0.2">
      <c r="A584" s="58">
        <f t="shared" si="132"/>
        <v>89</v>
      </c>
      <c r="B584" s="420" t="str">
        <f t="shared" si="136"/>
        <v/>
      </c>
      <c r="C584" s="218"/>
      <c r="D584" s="218"/>
      <c r="E584" s="218"/>
      <c r="F584" s="218"/>
      <c r="G584" s="219"/>
      <c r="H584" s="218"/>
      <c r="I584" s="218"/>
      <c r="J584" s="218"/>
    </row>
    <row r="585" spans="1:10" x14ac:dyDescent="0.2">
      <c r="A585" s="59">
        <f t="shared" si="132"/>
        <v>89</v>
      </c>
      <c r="B585" s="420" t="str">
        <f t="shared" si="136"/>
        <v/>
      </c>
      <c r="C585" s="220"/>
      <c r="D585" s="220"/>
      <c r="E585" s="220"/>
      <c r="F585" s="220"/>
      <c r="G585" s="221"/>
      <c r="H585" s="220"/>
      <c r="I585" s="220"/>
      <c r="J585" s="220"/>
    </row>
    <row r="586" spans="1:10" x14ac:dyDescent="0.2">
      <c r="A586" s="59">
        <f t="shared" si="132"/>
        <v>89</v>
      </c>
      <c r="B586" s="420" t="str">
        <f t="shared" si="136"/>
        <v/>
      </c>
      <c r="C586" s="220"/>
      <c r="D586" s="220"/>
      <c r="E586" s="220"/>
      <c r="F586" s="220"/>
      <c r="G586" s="221"/>
      <c r="H586" s="220"/>
      <c r="I586" s="220"/>
      <c r="J586" s="220"/>
    </row>
    <row r="587" spans="1:10" x14ac:dyDescent="0.2">
      <c r="A587" s="59">
        <f t="shared" si="132"/>
        <v>89</v>
      </c>
      <c r="B587" s="420" t="str">
        <f t="shared" si="136"/>
        <v/>
      </c>
      <c r="C587" s="220"/>
      <c r="D587" s="220"/>
      <c r="E587" s="220"/>
      <c r="F587" s="220"/>
      <c r="G587" s="221"/>
      <c r="H587" s="220"/>
      <c r="I587" s="220"/>
      <c r="J587" s="220"/>
    </row>
    <row r="588" spans="1:10" x14ac:dyDescent="0.2">
      <c r="A588" s="60">
        <f t="shared" si="132"/>
        <v>89</v>
      </c>
      <c r="B588" s="420" t="str">
        <f t="shared" si="136"/>
        <v/>
      </c>
      <c r="C588" s="222"/>
      <c r="D588" s="222"/>
      <c r="E588" s="222"/>
      <c r="F588" s="222"/>
      <c r="G588" s="223"/>
      <c r="H588" s="222"/>
      <c r="I588" s="222"/>
      <c r="J588" s="222"/>
    </row>
    <row r="589" spans="1:10" x14ac:dyDescent="0.2">
      <c r="A589" s="30">
        <v>89</v>
      </c>
      <c r="B589" s="419" t="str">
        <f>"Total "&amp;A589</f>
        <v>Total 89</v>
      </c>
      <c r="C589" s="31" t="str">
        <f>IF(AND(C582=0,C583=0,C584=0,C585=0,C586=0,C587=0,C588=0),"",SUM(C582:C588))</f>
        <v/>
      </c>
      <c r="D589" s="31" t="str">
        <f>IF(AND(D582=0,D583=0,D584=0,D585=0,D586=0,D587=0,D588=0),"",SUM(D582:D588))</f>
        <v/>
      </c>
      <c r="E589" s="31">
        <f>IF(AND(E582=0,E583=0,E584=0,E585=0,E586=0,E587=0,E588=0),0,SUM(E582:E588))</f>
        <v>0</v>
      </c>
      <c r="F589" s="31">
        <f>IF(AND(F582=0,F583=0,F584=0,F585=0,F586=0,F587=0,F588=0),0,SUM(F582:F588))</f>
        <v>0</v>
      </c>
      <c r="G589" s="32" t="str">
        <f>IF(AND(G582=0,G583=0,G584=0,G585=0,G586=0,G587=0,G588=0),"",AVERAGE(G582:G588))</f>
        <v/>
      </c>
      <c r="H589" s="31">
        <f>IF(AND(H582=0,H583=0,H584=0,H585=0,H586=0,H587=0,H588=0),0,SUM(H582:H588))</f>
        <v>0</v>
      </c>
      <c r="I589" s="31" t="str">
        <f>IF(AND(I582=0,I583=0,I584=0,I585=0,I586=0,I587=0,I588=0),"",SUM(I582:I588))</f>
        <v/>
      </c>
      <c r="J589" s="31">
        <f>IF(AND(J582=0,J583=0,J584=0,J585=0,J586=0,J587=0,J588=0),0,AVERAGE(J582:J588))</f>
        <v>0</v>
      </c>
    </row>
    <row r="590" spans="1:10" x14ac:dyDescent="0.2">
      <c r="A590" s="58">
        <f>A582+1</f>
        <v>90</v>
      </c>
      <c r="B590" s="420" t="str">
        <f>IF(B588&lt;&gt;"",B588+1,"")</f>
        <v/>
      </c>
      <c r="C590" s="218"/>
      <c r="D590" s="218"/>
      <c r="E590" s="218"/>
      <c r="F590" s="218"/>
      <c r="G590" s="219"/>
      <c r="H590" s="218"/>
      <c r="I590" s="218"/>
      <c r="J590" s="218"/>
    </row>
    <row r="591" spans="1:10" x14ac:dyDescent="0.2">
      <c r="A591" s="58">
        <f t="shared" si="134"/>
        <v>90</v>
      </c>
      <c r="B591" s="420" t="str">
        <f t="shared" ref="B591:B596" si="137">IF(B590&lt;&gt;"",B590+1,"")</f>
        <v/>
      </c>
      <c r="C591" s="218"/>
      <c r="D591" s="218"/>
      <c r="E591" s="218"/>
      <c r="F591" s="218"/>
      <c r="G591" s="219"/>
      <c r="H591" s="218"/>
      <c r="I591" s="218"/>
      <c r="J591" s="218"/>
    </row>
    <row r="592" spans="1:10" x14ac:dyDescent="0.2">
      <c r="A592" s="58">
        <f t="shared" si="134"/>
        <v>90</v>
      </c>
      <c r="B592" s="420" t="str">
        <f t="shared" si="137"/>
        <v/>
      </c>
      <c r="C592" s="218"/>
      <c r="D592" s="218"/>
      <c r="E592" s="218"/>
      <c r="F592" s="218"/>
      <c r="G592" s="219"/>
      <c r="H592" s="218"/>
      <c r="I592" s="218"/>
      <c r="J592" s="218"/>
    </row>
    <row r="593" spans="1:10" x14ac:dyDescent="0.2">
      <c r="A593" s="59">
        <f t="shared" si="134"/>
        <v>90</v>
      </c>
      <c r="B593" s="420" t="str">
        <f t="shared" si="137"/>
        <v/>
      </c>
      <c r="C593" s="220"/>
      <c r="D593" s="220"/>
      <c r="E593" s="220"/>
      <c r="F593" s="220"/>
      <c r="G593" s="221"/>
      <c r="H593" s="220"/>
      <c r="I593" s="220"/>
      <c r="J593" s="220"/>
    </row>
    <row r="594" spans="1:10" x14ac:dyDescent="0.2">
      <c r="A594" s="59">
        <f t="shared" si="134"/>
        <v>90</v>
      </c>
      <c r="B594" s="420" t="str">
        <f t="shared" si="137"/>
        <v/>
      </c>
      <c r="C594" s="220"/>
      <c r="D594" s="220"/>
      <c r="E594" s="220"/>
      <c r="F594" s="220"/>
      <c r="G594" s="221"/>
      <c r="H594" s="220"/>
      <c r="I594" s="220"/>
      <c r="J594" s="220"/>
    </row>
    <row r="595" spans="1:10" x14ac:dyDescent="0.2">
      <c r="A595" s="59">
        <f t="shared" si="134"/>
        <v>90</v>
      </c>
      <c r="B595" s="420" t="str">
        <f t="shared" si="137"/>
        <v/>
      </c>
      <c r="C595" s="220"/>
      <c r="D595" s="220"/>
      <c r="E595" s="220"/>
      <c r="F595" s="220"/>
      <c r="G595" s="221"/>
      <c r="H595" s="220"/>
      <c r="I595" s="220"/>
      <c r="J595" s="220"/>
    </row>
    <row r="596" spans="1:10" x14ac:dyDescent="0.2">
      <c r="A596" s="60">
        <f t="shared" si="134"/>
        <v>90</v>
      </c>
      <c r="B596" s="420" t="str">
        <f t="shared" si="137"/>
        <v/>
      </c>
      <c r="C596" s="222"/>
      <c r="D596" s="222"/>
      <c r="E596" s="222"/>
      <c r="F596" s="222"/>
      <c r="G596" s="223"/>
      <c r="H596" s="222"/>
      <c r="I596" s="222"/>
      <c r="J596" s="222"/>
    </row>
    <row r="597" spans="1:10" x14ac:dyDescent="0.2">
      <c r="A597" s="30">
        <v>90</v>
      </c>
      <c r="B597" s="419" t="str">
        <f>"Total "&amp;A597</f>
        <v>Total 90</v>
      </c>
      <c r="C597" s="31" t="str">
        <f>IF(AND(C590=0,C591=0,C592=0,C593=0,C594=0,C595=0,C596=0),"",SUM(C590:C596))</f>
        <v/>
      </c>
      <c r="D597" s="31" t="str">
        <f>IF(AND(D590=0,D591=0,D592=0,D593=0,D594=0,D595=0,D596=0),"",SUM(D590:D596))</f>
        <v/>
      </c>
      <c r="E597" s="31">
        <f>IF(AND(E590=0,E591=0,E592=0,E593=0,E594=0,E595=0,E596=0),0,SUM(E590:E596))</f>
        <v>0</v>
      </c>
      <c r="F597" s="31">
        <f>IF(AND(F590=0,F591=0,F592=0,F593=0,F594=0,F595=0,F596=0),0,SUM(F590:F596))</f>
        <v>0</v>
      </c>
      <c r="G597" s="32" t="str">
        <f>IF(AND(G590=0,G591=0,G592=0,G593=0,G594=0,G595=0,G596=0),"",AVERAGE(G590:G596))</f>
        <v/>
      </c>
      <c r="H597" s="31">
        <f>IF(AND(H590=0,H591=0,H592=0,H593=0,H594=0,H595=0,H596=0),0,SUM(H590:H596))</f>
        <v>0</v>
      </c>
      <c r="I597" s="31" t="str">
        <f>IF(AND(I590=0,I591=0,I592=0,I593=0,I594=0,I595=0,I596=0),"",SUM(I590:I596))</f>
        <v/>
      </c>
      <c r="J597" s="31">
        <f>IF(AND(J590=0,J591=0,J592=0,J593=0,J594=0,J595=0,J596=0),0,AVERAGE(J590:J596))</f>
        <v>0</v>
      </c>
    </row>
  </sheetData>
  <mergeCells count="11">
    <mergeCell ref="A1:J1"/>
    <mergeCell ref="A10:A11"/>
    <mergeCell ref="B10:B11"/>
    <mergeCell ref="C10:C11"/>
    <mergeCell ref="D10:D11"/>
    <mergeCell ref="E10:E11"/>
    <mergeCell ref="F10:F11"/>
    <mergeCell ref="G10:G11"/>
    <mergeCell ref="H10:H11"/>
    <mergeCell ref="I10:I11"/>
    <mergeCell ref="J10:J11"/>
  </mergeCells>
  <printOptions horizontalCentered="1"/>
  <pageMargins left="0.55118110236220474" right="0.55118110236220474" top="0.70866141732283472" bottom="0.31496062992125984" header="0.31496062992125984" footer="0.31496062992125984"/>
  <pageSetup paperSize="9" scale="49" fitToHeight="0" orientation="portrait" r:id="rId1"/>
  <headerFooter>
    <oddHeader>&amp;L&amp;G&amp;R&amp;G</oddHeader>
  </headerFooter>
  <rowBreaks count="5" manualBreakCount="5">
    <brk id="125" max="16383" man="1"/>
    <brk id="229" max="16383" man="1"/>
    <brk id="333" max="16383" man="1"/>
    <brk id="437" max="16383" man="1"/>
    <brk id="541" max="16383" man="1"/>
  </rowBreaks>
  <ignoredErrors>
    <ignoredError sqref="J126:J130 F126:H130 C166:E167 C206:E208 C230:E232 C270:E272 C310:E313 C406:E408 C234:E236 D233:E233 C169:E171 E168 C210:E212 D209:E209 C274:E276 D273:E273 C315:E316 D314:E314 C410:E412 D409:E409 E172" unlockedFormula="1"/>
    <ignoredError sqref="D118:D123 C131:E131 D126:D130 C158:E160 C350:E352 C382:E384 C162:E163 D161:E161 C354:E356 D353:E353 C386:E388 D385:E385 E132 E164" emptyCellReference="1"/>
    <ignoredError sqref="C126:C129 E118:E124 E126:E130 C118:C120 C134:E136 C174:E177 C214:E214 C238:E239 C278:E280 C318:E320 C334:E336 C358:E360 C390:E394 C398:E400 C414:E417 C438:E441 C462:E468 C502:E508 C526:E532 C558:E564 I118:I124 G118:H124 J118:J124 F118:F124 F134:J140 F166:J172 F190:J196 F222:J228 F254:J260 F326:J332 F358:J364 D194:E194 E192 C122 C138:E139 D137:E137 C145:E147 D144:E144 C155:E155 E152 C179:E179 D178:E178 C187:E187 D186:E186 D193:E193 C202:E203 D201:E201 C220:E220 E153 E154 C151 E151 C150 E150 C586:E588 D585:E585 C584:E584 D583:E583 C226:E228 D225:E225 C241:E244 D240:E240 C249:E252 D248:E248 C257:E260 D256:E256 C265:E268 D264:E264 C282:E284 D281:E281 C290:E292 D289:E289 C298:E300 D297:E297 C306:E308 D305:E305 C322:E324 D321:E321 C330:E332 D329:E329 C338:E340 D337:E337 C346:E348 D345:E345 C362:E364 D361:E361 C370:E372 D369:E369 C378:E380 D377:E377 C396:E396 D395:E395 C402:E404 D401:E401 C419:E420 D418:E418 C428:E428 D427:E427 C443:E444 D442:E442 C451:E452 D450:E450 F142:J148 C142:E143 F150:J156 F174:J180 C182:E182 C190:E190 F198:J204 C198:E200 F206:J212 C222:E224 F230:J236 F238:J244 C246:E247 C254:E255 F262:J268 C262:E263 F270:J276 F278:J284 C286:E288 F286:J292 C294:E296 F294:J300 C302:E304 F302:J308 F310:J316 C326:E328 F334:J340 C342:E344 F342:J348 F366:J372 C366:E368 C374:E376 F374:J380 F382:J388 F390:J396 F398:J404 F406:J412 F414:J420 C422:E426 F422:J428 F430:J436 F438:J444 C446:E449 F446:J452 F454:J460 F462:J468 C470:E476 F470:J476 C478:E484 F478:J484 C486:E492 F486:J492 F494:J500 F502:J508 C510:E516 F510:J516 F518:J524 F526:J532 C534:E540 F534:J540 C542:E548 F542:J548 F550:J556 F558:J564 C566:E572 F566:J572 C574:E580 F574:J580 C582:E582 E140 E148 E156 E180 E188 E196 E204 C184:E185 D183:E183 D195:E195 D191:E191" unlockedFormula="1" emptyCellReference="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002060"/>
  </sheetPr>
  <dimension ref="A1:Q85"/>
  <sheetViews>
    <sheetView showGridLines="0" zoomScaleNormal="100" zoomScaleSheetLayoutView="100" workbookViewId="0">
      <pane xSplit="1" ySplit="11" topLeftCell="B12" activePane="bottomRight" state="frozen"/>
      <selection pane="topRight" activeCell="B1" sqref="B1"/>
      <selection pane="bottomLeft" activeCell="A12" sqref="A12"/>
      <selection pane="bottomRight" activeCell="E20" sqref="E20"/>
    </sheetView>
  </sheetViews>
  <sheetFormatPr baseColWidth="10" defaultRowHeight="12.75" x14ac:dyDescent="0.2"/>
  <cols>
    <col min="1" max="1" width="14.7109375" style="163" customWidth="1"/>
    <col min="2" max="2" width="10.28515625" style="163" customWidth="1"/>
    <col min="3" max="3" width="12.28515625" style="163" customWidth="1"/>
    <col min="4" max="5" width="21.7109375" style="163" customWidth="1"/>
    <col min="6" max="6" width="14.42578125" style="163" customWidth="1"/>
    <col min="7" max="7" width="21" style="163" bestFit="1" customWidth="1"/>
    <col min="8" max="8" width="19.140625" style="163" customWidth="1"/>
    <col min="9" max="9" width="20" style="163" customWidth="1"/>
    <col min="10" max="16384" width="11.42578125" style="163"/>
  </cols>
  <sheetData>
    <row r="1" spans="1:16" ht="24" customHeight="1" x14ac:dyDescent="0.35">
      <c r="A1" s="465"/>
      <c r="B1" s="465"/>
      <c r="C1" s="465"/>
      <c r="D1" s="465"/>
      <c r="E1" s="465"/>
      <c r="F1" s="465"/>
      <c r="G1" s="465"/>
      <c r="H1" s="465"/>
      <c r="I1" s="465"/>
    </row>
    <row r="2" spans="1:16" ht="24" customHeight="1" x14ac:dyDescent="0.35">
      <c r="A2" s="465" t="str">
        <f>IF(Data!$C$15="","",VLOOKUP(Data!$C$15,Traduction!$A$2:$BR$13,14,FALSE))</f>
        <v>Période de production</v>
      </c>
      <c r="B2" s="465"/>
      <c r="C2" s="465"/>
      <c r="D2" s="465"/>
      <c r="E2" s="465"/>
      <c r="F2" s="465"/>
      <c r="G2" s="465"/>
      <c r="H2" s="465"/>
      <c r="I2" s="465"/>
    </row>
    <row r="3" spans="1:16" ht="13.5" thickBot="1" x14ac:dyDescent="0.25">
      <c r="A3" s="224"/>
      <c r="B3" s="176"/>
      <c r="C3" s="176"/>
      <c r="D3" s="176"/>
      <c r="E3" s="176"/>
      <c r="F3" s="176"/>
      <c r="G3" s="176"/>
      <c r="H3" s="225"/>
      <c r="I3" s="176"/>
    </row>
    <row r="4" spans="1:16" ht="13.5" customHeight="1" x14ac:dyDescent="0.25">
      <c r="A4" s="131" t="str">
        <f>IF(Data!$C$15="","",VLOOKUP(Data!$C$15,Traduction!$A$2:$BR$13,4,FALSE))</f>
        <v>Pays</v>
      </c>
      <c r="B4" s="61"/>
      <c r="C4" s="61"/>
      <c r="D4" s="348" t="str">
        <f>IF(Data!F31&lt;&gt;"",Data!F31,"")</f>
        <v/>
      </c>
      <c r="E4" s="61"/>
      <c r="F4" s="61" t="str">
        <f>IF(Data!$C$15="","",VLOOKUP(Data!$C$15,Traduction!$A$2:$BR$13,8,FALSE))</f>
        <v>Lignée</v>
      </c>
      <c r="G4" s="61"/>
      <c r="H4" s="348" t="str">
        <f>Data!F36</f>
        <v/>
      </c>
      <c r="I4" s="426"/>
    </row>
    <row r="5" spans="1:16" ht="13.5" customHeight="1" x14ac:dyDescent="0.25">
      <c r="A5" s="133" t="str">
        <f>IF(Data!$C$15="","",VLOOKUP(Data!$C$15,Traduction!$A$2:$BR$13,5,FALSE))</f>
        <v>Société</v>
      </c>
      <c r="B5" s="62"/>
      <c r="C5" s="62"/>
      <c r="D5" s="362" t="str">
        <f>IF(Data!F32&lt;&gt;"",Data!F32,"")</f>
        <v/>
      </c>
      <c r="E5" s="62"/>
      <c r="F5" s="62" t="str">
        <f>IF(Data!$C$15="","",VLOOKUP(Data!$C$15,Traduction!$A$2:$BR$13,9,FALSE))</f>
        <v>Nombre</v>
      </c>
      <c r="G5" s="62"/>
      <c r="H5" s="424" t="str">
        <f>IF(Data!F37&lt;&gt;"",Data!F37,"")</f>
        <v/>
      </c>
      <c r="I5" s="427"/>
    </row>
    <row r="6" spans="1:16" ht="13.5" customHeight="1" x14ac:dyDescent="0.25">
      <c r="A6" s="133" t="str">
        <f>IF(Data!$C$15="","",VLOOKUP(Data!$C$15,Traduction!$A$2:$BR$13,6,FALSE))</f>
        <v>Ferme</v>
      </c>
      <c r="B6" s="62"/>
      <c r="C6" s="62"/>
      <c r="D6" s="362" t="str">
        <f>IF(Data!F33&lt;&gt;"",Data!F33,"")</f>
        <v/>
      </c>
      <c r="E6" s="62"/>
      <c r="F6" s="62" t="str">
        <f>IF(Data!$C$15="","",VLOOKUP(Data!$C$15,Traduction!$A$2:$BR$13,15,FALSE))</f>
        <v>Date du transfert</v>
      </c>
      <c r="G6" s="62"/>
      <c r="H6" s="425" t="str">
        <f>IF(Data!F38&lt;&gt;"",Data!F38,"")</f>
        <v/>
      </c>
      <c r="I6" s="427"/>
    </row>
    <row r="7" spans="1:16" ht="13.5" customHeight="1" thickBot="1" x14ac:dyDescent="0.3">
      <c r="A7" s="135" t="str">
        <f>IF(Data!$C$15="","",VLOOKUP(Data!$C$15,Traduction!$A$2:$BR$13,7,FALSE))</f>
        <v>Poulailler</v>
      </c>
      <c r="B7" s="63"/>
      <c r="C7" s="63"/>
      <c r="D7" s="351" t="str">
        <f>IF(Data!F34&lt;&gt;"",Data!F34,"")</f>
        <v/>
      </c>
      <c r="E7" s="63"/>
      <c r="F7" s="63" t="str">
        <f>IF(Data!$C$15="","",VLOOKUP(Data!$C$15,Traduction!$A$2:$BR$13,16,FALSE))</f>
        <v>Type d'élevage</v>
      </c>
      <c r="G7" s="63"/>
      <c r="H7" s="351" t="str">
        <f>IF(Data!F35&lt;&gt;"",Data!F35,"")</f>
        <v/>
      </c>
      <c r="I7" s="428"/>
    </row>
    <row r="8" spans="1:16" ht="13.5" thickBot="1" x14ac:dyDescent="0.25">
      <c r="A8" s="176"/>
      <c r="B8" s="176"/>
      <c r="C8" s="176"/>
      <c r="D8" s="176"/>
      <c r="E8" s="176"/>
      <c r="F8" s="176"/>
      <c r="G8" s="176"/>
      <c r="H8" s="176"/>
      <c r="I8" s="176"/>
    </row>
    <row r="9" spans="1:16" x14ac:dyDescent="0.2">
      <c r="A9" s="483" t="str">
        <f>IF(Data!$C$15="","",VLOOKUP(Data!$C$15,Traduction!$A$2:$BR$13,18,FALSE))</f>
        <v>Age</v>
      </c>
      <c r="B9" s="458" t="str">
        <f>IF(Data!$C$15="","",VLOOKUP(Data!$C$15,Traduction!$A$2:$BR$13,19,FALSE))</f>
        <v>Mortalité</v>
      </c>
      <c r="C9" s="479" t="str">
        <f>IF(Data!$C$15="","",VLOOKUP(Data!$C$15,Traduction!$A$2:$BR$13,26,FALSE))</f>
        <v>Production</v>
      </c>
      <c r="D9" s="458" t="str">
        <f>IF(Data!$C$15="","",VLOOKUP(Data!$C$15,Traduction!$A$2:$BR$13,41,FALSE))</f>
        <v>Déclassés Elevage</v>
      </c>
      <c r="E9" s="458" t="str">
        <f>IF(Data!$C$15="","",VLOOKUP(Data!$C$15,Traduction!$A$2:$BR$13,42,FALSE))</f>
        <v>Déclassés Centre</v>
      </c>
      <c r="F9" s="481" t="str">
        <f>IF(Data!$C$15="","",VLOOKUP(Data!$C$15,Traduction!$A$2:$BR$13,43,FALSE))</f>
        <v>Poids de l'œuf</v>
      </c>
      <c r="G9" s="458" t="str">
        <f>IF(Data!$C$15="","",VLOOKUP(Data!$C$15,Traduction!$A$2:$BR$13,44,FALSE))</f>
        <v>Conso d'aliment</v>
      </c>
      <c r="H9" s="458" t="str">
        <f>IF(Data!$C$15="","",VLOOKUP(Data!$C$15,Traduction!$A$2:$BR$13,45,FALSE))</f>
        <v>Conso d'eau</v>
      </c>
      <c r="I9" s="485" t="str">
        <f>IF(Data!$C$15="","",VLOOKUP(Data!$C$15,Traduction!$A$2:$BR$13,20,FALSE))</f>
        <v>Poids corporel</v>
      </c>
    </row>
    <row r="10" spans="1:16" x14ac:dyDescent="0.2">
      <c r="A10" s="484"/>
      <c r="B10" s="478"/>
      <c r="C10" s="480"/>
      <c r="D10" s="478"/>
      <c r="E10" s="478"/>
      <c r="F10" s="482"/>
      <c r="G10" s="478"/>
      <c r="H10" s="478"/>
      <c r="I10" s="486"/>
    </row>
    <row r="11" spans="1:16" x14ac:dyDescent="0.2">
      <c r="A11" s="226"/>
      <c r="B11" s="215" t="s">
        <v>3</v>
      </c>
      <c r="C11" s="215" t="s">
        <v>3</v>
      </c>
      <c r="D11" s="215" t="s">
        <v>3</v>
      </c>
      <c r="E11" s="215" t="s">
        <v>3</v>
      </c>
      <c r="F11" s="227" t="str">
        <f>IF(Data!$C$15="","",VLOOKUP(Data!$C$15,Traduction!$A$2:$BZ$13,75,FALSE))</f>
        <v>g</v>
      </c>
      <c r="G11" s="215" t="str">
        <f>IF(Data!$C$15="","",VLOOKUP(Data!$C$15,Traduction!$A$2:$BR$13,70,FALSE))</f>
        <v>g/poule/jour</v>
      </c>
      <c r="H11" s="215" t="str">
        <f>IF(Data!$C$15="","",VLOOKUP(Data!$C$15,Traduction!$A$2:$BS$13,71,FALSE))</f>
        <v>l/jour</v>
      </c>
      <c r="I11" s="228" t="str">
        <f>IF(Data!$C$15="","",VLOOKUP(Data!$C$15,Traduction!$A$2:$BZ$13,75,FALSE))</f>
        <v>g</v>
      </c>
    </row>
    <row r="12" spans="1:16" x14ac:dyDescent="0.2">
      <c r="A12" s="422">
        <v>17</v>
      </c>
      <c r="B12" s="5"/>
      <c r="C12" s="5"/>
      <c r="D12" s="5"/>
      <c r="E12" s="5"/>
      <c r="F12" s="346"/>
      <c r="G12" s="344"/>
      <c r="H12" s="231"/>
      <c r="I12" s="232"/>
    </row>
    <row r="13" spans="1:16" x14ac:dyDescent="0.2">
      <c r="A13" s="422">
        <v>18</v>
      </c>
      <c r="B13" s="5"/>
      <c r="C13" s="5"/>
      <c r="D13" s="5"/>
      <c r="E13" s="5"/>
      <c r="F13" s="346"/>
      <c r="G13" s="344"/>
      <c r="H13" s="231"/>
      <c r="I13" s="232"/>
      <c r="M13" s="233"/>
    </row>
    <row r="14" spans="1:16" x14ac:dyDescent="0.2">
      <c r="A14" s="422">
        <v>19</v>
      </c>
      <c r="B14" s="5"/>
      <c r="C14" s="5"/>
      <c r="D14" s="5"/>
      <c r="E14" s="5"/>
      <c r="F14" s="346"/>
      <c r="G14" s="344"/>
      <c r="H14" s="231"/>
      <c r="I14" s="232"/>
      <c r="M14" s="233"/>
      <c r="O14" s="234"/>
      <c r="P14" s="235"/>
    </row>
    <row r="15" spans="1:16" x14ac:dyDescent="0.2">
      <c r="A15" s="422">
        <v>20</v>
      </c>
      <c r="B15" s="5"/>
      <c r="C15" s="5"/>
      <c r="D15" s="5"/>
      <c r="E15" s="5"/>
      <c r="F15" s="346"/>
      <c r="G15" s="344"/>
      <c r="H15" s="231"/>
      <c r="I15" s="232"/>
      <c r="M15" s="233"/>
      <c r="O15" s="234"/>
      <c r="P15" s="235"/>
    </row>
    <row r="16" spans="1:16" x14ac:dyDescent="0.2">
      <c r="A16" s="422">
        <v>21</v>
      </c>
      <c r="B16" s="5"/>
      <c r="C16" s="5"/>
      <c r="D16" s="5"/>
      <c r="E16" s="5"/>
      <c r="F16" s="346"/>
      <c r="G16" s="344"/>
      <c r="H16" s="231"/>
      <c r="I16" s="232"/>
      <c r="M16" s="233"/>
      <c r="O16" s="236"/>
      <c r="P16" s="235"/>
    </row>
    <row r="17" spans="1:17" x14ac:dyDescent="0.2">
      <c r="A17" s="422">
        <v>22</v>
      </c>
      <c r="B17" s="5"/>
      <c r="C17" s="5"/>
      <c r="D17" s="5"/>
      <c r="E17" s="5"/>
      <c r="F17" s="346"/>
      <c r="G17" s="344"/>
      <c r="H17" s="231"/>
      <c r="I17" s="232"/>
      <c r="M17" s="233"/>
      <c r="O17" s="236"/>
      <c r="P17" s="235"/>
      <c r="Q17" s="233"/>
    </row>
    <row r="18" spans="1:17" x14ac:dyDescent="0.2">
      <c r="A18" s="422">
        <v>23</v>
      </c>
      <c r="B18" s="5"/>
      <c r="C18" s="5"/>
      <c r="D18" s="5"/>
      <c r="E18" s="5"/>
      <c r="F18" s="346"/>
      <c r="G18" s="344"/>
      <c r="H18" s="231"/>
      <c r="I18" s="232"/>
      <c r="M18" s="233"/>
      <c r="O18" s="236"/>
      <c r="P18" s="235"/>
      <c r="Q18" s="233"/>
    </row>
    <row r="19" spans="1:17" x14ac:dyDescent="0.2">
      <c r="A19" s="422">
        <v>24</v>
      </c>
      <c r="B19" s="5"/>
      <c r="C19" s="5"/>
      <c r="D19" s="5"/>
      <c r="E19" s="5"/>
      <c r="F19" s="346"/>
      <c r="G19" s="344"/>
      <c r="H19" s="231"/>
      <c r="I19" s="232"/>
      <c r="M19" s="233"/>
      <c r="O19" s="236"/>
      <c r="P19" s="235"/>
      <c r="Q19" s="233"/>
    </row>
    <row r="20" spans="1:17" x14ac:dyDescent="0.2">
      <c r="A20" s="422">
        <v>25</v>
      </c>
      <c r="B20" s="5"/>
      <c r="C20" s="5"/>
      <c r="D20" s="5"/>
      <c r="E20" s="5"/>
      <c r="F20" s="346"/>
      <c r="G20" s="344"/>
      <c r="H20" s="231"/>
      <c r="I20" s="232"/>
      <c r="M20" s="233"/>
      <c r="O20" s="236"/>
      <c r="P20" s="235"/>
      <c r="Q20" s="233"/>
    </row>
    <row r="21" spans="1:17" x14ac:dyDescent="0.2">
      <c r="A21" s="422">
        <v>26</v>
      </c>
      <c r="B21" s="5"/>
      <c r="C21" s="5"/>
      <c r="D21" s="5"/>
      <c r="E21" s="5"/>
      <c r="F21" s="346"/>
      <c r="G21" s="344"/>
      <c r="H21" s="231"/>
      <c r="I21" s="232"/>
      <c r="M21" s="233"/>
      <c r="O21" s="236"/>
      <c r="P21" s="235"/>
      <c r="Q21" s="233"/>
    </row>
    <row r="22" spans="1:17" x14ac:dyDescent="0.2">
      <c r="A22" s="422">
        <v>27</v>
      </c>
      <c r="B22" s="5"/>
      <c r="C22" s="5"/>
      <c r="D22" s="5"/>
      <c r="E22" s="5"/>
      <c r="F22" s="346"/>
      <c r="G22" s="344"/>
      <c r="H22" s="231"/>
      <c r="I22" s="232"/>
      <c r="M22" s="233"/>
      <c r="O22" s="236"/>
      <c r="P22" s="235"/>
      <c r="Q22" s="233"/>
    </row>
    <row r="23" spans="1:17" x14ac:dyDescent="0.2">
      <c r="A23" s="422">
        <v>28</v>
      </c>
      <c r="B23" s="5"/>
      <c r="C23" s="5"/>
      <c r="D23" s="5"/>
      <c r="E23" s="5"/>
      <c r="F23" s="346"/>
      <c r="G23" s="344"/>
      <c r="H23" s="231"/>
      <c r="I23" s="232"/>
      <c r="M23" s="233"/>
      <c r="O23" s="236"/>
      <c r="P23" s="235"/>
      <c r="Q23" s="233"/>
    </row>
    <row r="24" spans="1:17" x14ac:dyDescent="0.2">
      <c r="A24" s="422">
        <v>29</v>
      </c>
      <c r="B24" s="5"/>
      <c r="C24" s="5"/>
      <c r="D24" s="5"/>
      <c r="E24" s="5"/>
      <c r="F24" s="346"/>
      <c r="G24" s="344"/>
      <c r="H24" s="231"/>
      <c r="I24" s="232"/>
      <c r="M24" s="233"/>
      <c r="O24" s="236"/>
      <c r="P24" s="235"/>
      <c r="Q24" s="233"/>
    </row>
    <row r="25" spans="1:17" x14ac:dyDescent="0.2">
      <c r="A25" s="422">
        <v>30</v>
      </c>
      <c r="B25" s="5"/>
      <c r="C25" s="5"/>
      <c r="D25" s="5"/>
      <c r="E25" s="5"/>
      <c r="F25" s="346"/>
      <c r="G25" s="344"/>
      <c r="H25" s="231"/>
      <c r="I25" s="232"/>
      <c r="M25" s="233"/>
      <c r="O25" s="236"/>
      <c r="P25" s="235"/>
      <c r="Q25" s="233"/>
    </row>
    <row r="26" spans="1:17" x14ac:dyDescent="0.2">
      <c r="A26" s="422">
        <v>31</v>
      </c>
      <c r="B26" s="5"/>
      <c r="C26" s="5"/>
      <c r="D26" s="5"/>
      <c r="E26" s="5"/>
      <c r="F26" s="346"/>
      <c r="G26" s="344"/>
      <c r="H26" s="231"/>
      <c r="I26" s="232"/>
      <c r="M26" s="233"/>
      <c r="O26" s="236"/>
      <c r="P26" s="235"/>
      <c r="Q26" s="233"/>
    </row>
    <row r="27" spans="1:17" x14ac:dyDescent="0.2">
      <c r="A27" s="422">
        <v>32</v>
      </c>
      <c r="B27" s="5"/>
      <c r="C27" s="5"/>
      <c r="D27" s="5"/>
      <c r="E27" s="5"/>
      <c r="F27" s="346"/>
      <c r="G27" s="344"/>
      <c r="H27" s="231"/>
      <c r="I27" s="232"/>
      <c r="M27" s="233"/>
      <c r="O27" s="236"/>
      <c r="P27" s="235"/>
      <c r="Q27" s="233"/>
    </row>
    <row r="28" spans="1:17" x14ac:dyDescent="0.2">
      <c r="A28" s="422">
        <v>33</v>
      </c>
      <c r="B28" s="5"/>
      <c r="C28" s="5"/>
      <c r="D28" s="5"/>
      <c r="E28" s="5"/>
      <c r="F28" s="346"/>
      <c r="G28" s="344"/>
      <c r="H28" s="231"/>
      <c r="I28" s="232"/>
      <c r="M28" s="233"/>
      <c r="O28" s="236"/>
      <c r="P28" s="235"/>
      <c r="Q28" s="233"/>
    </row>
    <row r="29" spans="1:17" x14ac:dyDescent="0.2">
      <c r="A29" s="422">
        <v>34</v>
      </c>
      <c r="B29" s="5"/>
      <c r="C29" s="5"/>
      <c r="D29" s="5"/>
      <c r="E29" s="5"/>
      <c r="F29" s="346"/>
      <c r="G29" s="344"/>
      <c r="H29" s="231"/>
      <c r="I29" s="232"/>
      <c r="M29" s="233"/>
      <c r="O29" s="236"/>
      <c r="P29" s="235"/>
      <c r="Q29" s="233"/>
    </row>
    <row r="30" spans="1:17" x14ac:dyDescent="0.2">
      <c r="A30" s="422">
        <v>35</v>
      </c>
      <c r="B30" s="5"/>
      <c r="C30" s="5"/>
      <c r="D30" s="5"/>
      <c r="E30" s="5"/>
      <c r="F30" s="346"/>
      <c r="G30" s="344"/>
      <c r="H30" s="231"/>
      <c r="I30" s="232"/>
      <c r="M30" s="233"/>
      <c r="O30" s="236"/>
      <c r="P30" s="235"/>
      <c r="Q30" s="233"/>
    </row>
    <row r="31" spans="1:17" x14ac:dyDescent="0.2">
      <c r="A31" s="422">
        <v>36</v>
      </c>
      <c r="B31" s="5"/>
      <c r="C31" s="5"/>
      <c r="D31" s="5"/>
      <c r="E31" s="5"/>
      <c r="F31" s="346"/>
      <c r="G31" s="344"/>
      <c r="H31" s="231"/>
      <c r="I31" s="232"/>
      <c r="M31" s="233"/>
      <c r="O31" s="236"/>
      <c r="P31" s="235"/>
      <c r="Q31" s="233"/>
    </row>
    <row r="32" spans="1:17" x14ac:dyDescent="0.2">
      <c r="A32" s="422">
        <v>37</v>
      </c>
      <c r="B32" s="229"/>
      <c r="C32" s="229"/>
      <c r="D32" s="229"/>
      <c r="E32" s="229"/>
      <c r="F32" s="230"/>
      <c r="G32" s="344"/>
      <c r="H32" s="231"/>
      <c r="I32" s="232"/>
      <c r="O32" s="236"/>
      <c r="P32" s="235"/>
      <c r="Q32" s="233"/>
    </row>
    <row r="33" spans="1:17" x14ac:dyDescent="0.2">
      <c r="A33" s="422">
        <v>38</v>
      </c>
      <c r="B33" s="229"/>
      <c r="C33" s="229"/>
      <c r="D33" s="229"/>
      <c r="E33" s="229"/>
      <c r="F33" s="230"/>
      <c r="G33" s="344"/>
      <c r="H33" s="231"/>
      <c r="I33" s="232"/>
      <c r="O33" s="236"/>
      <c r="P33" s="235"/>
      <c r="Q33" s="233"/>
    </row>
    <row r="34" spans="1:17" x14ac:dyDescent="0.2">
      <c r="A34" s="422">
        <v>39</v>
      </c>
      <c r="B34" s="229"/>
      <c r="C34" s="229"/>
      <c r="D34" s="229"/>
      <c r="E34" s="229"/>
      <c r="F34" s="230"/>
      <c r="G34" s="344"/>
      <c r="H34" s="231"/>
      <c r="I34" s="232"/>
      <c r="O34" s="236"/>
      <c r="P34" s="235"/>
      <c r="Q34" s="233"/>
    </row>
    <row r="35" spans="1:17" x14ac:dyDescent="0.2">
      <c r="A35" s="422">
        <v>40</v>
      </c>
      <c r="B35" s="229"/>
      <c r="C35" s="229"/>
      <c r="D35" s="229"/>
      <c r="E35" s="229"/>
      <c r="F35" s="230"/>
      <c r="G35" s="344"/>
      <c r="H35" s="231"/>
      <c r="I35" s="232"/>
      <c r="O35" s="236"/>
      <c r="P35" s="235"/>
      <c r="Q35" s="233"/>
    </row>
    <row r="36" spans="1:17" x14ac:dyDescent="0.2">
      <c r="A36" s="422">
        <v>41</v>
      </c>
      <c r="B36" s="229"/>
      <c r="C36" s="229"/>
      <c r="D36" s="229"/>
      <c r="E36" s="229"/>
      <c r="F36" s="230"/>
      <c r="G36" s="344"/>
      <c r="H36" s="231"/>
      <c r="I36" s="232"/>
      <c r="O36" s="236"/>
      <c r="P36" s="235"/>
      <c r="Q36" s="233"/>
    </row>
    <row r="37" spans="1:17" x14ac:dyDescent="0.2">
      <c r="A37" s="422">
        <v>42</v>
      </c>
      <c r="B37" s="229"/>
      <c r="C37" s="229"/>
      <c r="D37" s="229"/>
      <c r="E37" s="229"/>
      <c r="F37" s="230"/>
      <c r="G37" s="344"/>
      <c r="H37" s="231"/>
      <c r="I37" s="232"/>
      <c r="O37" s="236"/>
      <c r="P37" s="235"/>
      <c r="Q37" s="233"/>
    </row>
    <row r="38" spans="1:17" x14ac:dyDescent="0.2">
      <c r="A38" s="422">
        <v>43</v>
      </c>
      <c r="B38" s="229"/>
      <c r="C38" s="229"/>
      <c r="D38" s="229"/>
      <c r="E38" s="229"/>
      <c r="F38" s="230"/>
      <c r="G38" s="344"/>
      <c r="H38" s="231"/>
      <c r="I38" s="232"/>
      <c r="O38" s="236"/>
      <c r="P38" s="235"/>
      <c r="Q38" s="233"/>
    </row>
    <row r="39" spans="1:17" x14ac:dyDescent="0.2">
      <c r="A39" s="422">
        <v>44</v>
      </c>
      <c r="B39" s="229"/>
      <c r="C39" s="229"/>
      <c r="D39" s="229"/>
      <c r="E39" s="229"/>
      <c r="F39" s="230"/>
      <c r="G39" s="344"/>
      <c r="H39" s="231"/>
      <c r="I39" s="232"/>
      <c r="O39" s="236"/>
      <c r="P39" s="235"/>
      <c r="Q39" s="233"/>
    </row>
    <row r="40" spans="1:17" x14ac:dyDescent="0.2">
      <c r="A40" s="422">
        <v>45</v>
      </c>
      <c r="B40" s="229"/>
      <c r="C40" s="229"/>
      <c r="D40" s="229"/>
      <c r="E40" s="229"/>
      <c r="F40" s="230"/>
      <c r="G40" s="344"/>
      <c r="H40" s="231"/>
      <c r="I40" s="232"/>
      <c r="O40" s="236"/>
      <c r="P40" s="235"/>
      <c r="Q40" s="233"/>
    </row>
    <row r="41" spans="1:17" x14ac:dyDescent="0.2">
      <c r="A41" s="422">
        <v>46</v>
      </c>
      <c r="B41" s="229"/>
      <c r="C41" s="229"/>
      <c r="D41" s="229"/>
      <c r="E41" s="229"/>
      <c r="F41" s="230"/>
      <c r="G41" s="344"/>
      <c r="H41" s="231"/>
      <c r="I41" s="232"/>
      <c r="O41" s="236"/>
      <c r="P41" s="235"/>
      <c r="Q41" s="233"/>
    </row>
    <row r="42" spans="1:17" x14ac:dyDescent="0.2">
      <c r="A42" s="422">
        <v>47</v>
      </c>
      <c r="B42" s="229"/>
      <c r="C42" s="229"/>
      <c r="D42" s="229"/>
      <c r="E42" s="229"/>
      <c r="F42" s="230"/>
      <c r="G42" s="344"/>
      <c r="H42" s="231"/>
      <c r="I42" s="232"/>
      <c r="O42" s="236"/>
      <c r="P42" s="235"/>
      <c r="Q42" s="233"/>
    </row>
    <row r="43" spans="1:17" x14ac:dyDescent="0.2">
      <c r="A43" s="422">
        <v>48</v>
      </c>
      <c r="B43" s="229"/>
      <c r="C43" s="229"/>
      <c r="D43" s="229"/>
      <c r="E43" s="229"/>
      <c r="F43" s="230"/>
      <c r="G43" s="344"/>
      <c r="H43" s="231"/>
      <c r="I43" s="232"/>
      <c r="O43" s="236"/>
      <c r="P43" s="235"/>
      <c r="Q43" s="233"/>
    </row>
    <row r="44" spans="1:17" x14ac:dyDescent="0.2">
      <c r="A44" s="422">
        <v>49</v>
      </c>
      <c r="B44" s="229"/>
      <c r="C44" s="229"/>
      <c r="D44" s="229"/>
      <c r="E44" s="229"/>
      <c r="F44" s="230"/>
      <c r="G44" s="344"/>
      <c r="H44" s="231"/>
      <c r="I44" s="232"/>
      <c r="O44" s="236"/>
      <c r="P44" s="235"/>
      <c r="Q44" s="233"/>
    </row>
    <row r="45" spans="1:17" x14ac:dyDescent="0.2">
      <c r="A45" s="422">
        <v>50</v>
      </c>
      <c r="B45" s="229"/>
      <c r="C45" s="229"/>
      <c r="D45" s="229"/>
      <c r="E45" s="229"/>
      <c r="F45" s="230"/>
      <c r="G45" s="344"/>
      <c r="H45" s="231"/>
      <c r="I45" s="232"/>
      <c r="O45" s="236"/>
      <c r="P45" s="235"/>
      <c r="Q45" s="233"/>
    </row>
    <row r="46" spans="1:17" x14ac:dyDescent="0.2">
      <c r="A46" s="422">
        <v>51</v>
      </c>
      <c r="B46" s="229"/>
      <c r="C46" s="229"/>
      <c r="D46" s="229"/>
      <c r="E46" s="229"/>
      <c r="F46" s="230"/>
      <c r="G46" s="344"/>
      <c r="H46" s="231"/>
      <c r="I46" s="232"/>
      <c r="O46" s="236"/>
      <c r="P46" s="235"/>
      <c r="Q46" s="233"/>
    </row>
    <row r="47" spans="1:17" x14ac:dyDescent="0.2">
      <c r="A47" s="422">
        <v>52</v>
      </c>
      <c r="B47" s="229"/>
      <c r="C47" s="229"/>
      <c r="D47" s="229"/>
      <c r="E47" s="229"/>
      <c r="F47" s="230"/>
      <c r="G47" s="344"/>
      <c r="H47" s="231"/>
      <c r="I47" s="232"/>
      <c r="O47" s="236"/>
      <c r="P47" s="235"/>
      <c r="Q47" s="233"/>
    </row>
    <row r="48" spans="1:17" x14ac:dyDescent="0.2">
      <c r="A48" s="422">
        <v>53</v>
      </c>
      <c r="B48" s="229"/>
      <c r="C48" s="229"/>
      <c r="D48" s="229"/>
      <c r="E48" s="229"/>
      <c r="F48" s="230"/>
      <c r="G48" s="344"/>
      <c r="H48" s="231"/>
      <c r="I48" s="232"/>
      <c r="O48" s="236"/>
      <c r="P48" s="235"/>
      <c r="Q48" s="233"/>
    </row>
    <row r="49" spans="1:17" x14ac:dyDescent="0.2">
      <c r="A49" s="422">
        <v>54</v>
      </c>
      <c r="B49" s="229"/>
      <c r="C49" s="229"/>
      <c r="D49" s="229"/>
      <c r="E49" s="229"/>
      <c r="F49" s="230"/>
      <c r="G49" s="344"/>
      <c r="H49" s="231"/>
      <c r="I49" s="232"/>
      <c r="O49" s="236"/>
      <c r="P49" s="235"/>
      <c r="Q49" s="233"/>
    </row>
    <row r="50" spans="1:17" x14ac:dyDescent="0.2">
      <c r="A50" s="422">
        <v>55</v>
      </c>
      <c r="B50" s="229"/>
      <c r="C50" s="229"/>
      <c r="D50" s="229"/>
      <c r="E50" s="229"/>
      <c r="F50" s="230"/>
      <c r="G50" s="344"/>
      <c r="H50" s="231"/>
      <c r="I50" s="232"/>
      <c r="O50" s="236"/>
      <c r="P50" s="235"/>
      <c r="Q50" s="233"/>
    </row>
    <row r="51" spans="1:17" x14ac:dyDescent="0.2">
      <c r="A51" s="422">
        <v>56</v>
      </c>
      <c r="B51" s="229"/>
      <c r="C51" s="229"/>
      <c r="D51" s="229"/>
      <c r="E51" s="229"/>
      <c r="F51" s="230"/>
      <c r="G51" s="344"/>
      <c r="H51" s="231"/>
      <c r="I51" s="232"/>
      <c r="O51" s="236"/>
      <c r="P51" s="235"/>
      <c r="Q51" s="233"/>
    </row>
    <row r="52" spans="1:17" x14ac:dyDescent="0.2">
      <c r="A52" s="422">
        <v>57</v>
      </c>
      <c r="B52" s="229"/>
      <c r="C52" s="229"/>
      <c r="D52" s="229"/>
      <c r="E52" s="229"/>
      <c r="F52" s="230"/>
      <c r="G52" s="344"/>
      <c r="H52" s="231"/>
      <c r="I52" s="232"/>
      <c r="O52" s="236"/>
      <c r="P52" s="235"/>
      <c r="Q52" s="233"/>
    </row>
    <row r="53" spans="1:17" x14ac:dyDescent="0.2">
      <c r="A53" s="422">
        <v>58</v>
      </c>
      <c r="B53" s="229"/>
      <c r="C53" s="229"/>
      <c r="D53" s="229"/>
      <c r="E53" s="229"/>
      <c r="F53" s="230"/>
      <c r="G53" s="344"/>
      <c r="H53" s="231"/>
      <c r="I53" s="232"/>
      <c r="O53" s="236"/>
      <c r="P53" s="235"/>
      <c r="Q53" s="233"/>
    </row>
    <row r="54" spans="1:17" x14ac:dyDescent="0.2">
      <c r="A54" s="422">
        <v>59</v>
      </c>
      <c r="B54" s="229"/>
      <c r="C54" s="229"/>
      <c r="D54" s="229"/>
      <c r="E54" s="229"/>
      <c r="F54" s="230"/>
      <c r="G54" s="344"/>
      <c r="H54" s="231"/>
      <c r="I54" s="232"/>
      <c r="O54" s="236"/>
      <c r="P54" s="235"/>
      <c r="Q54" s="233"/>
    </row>
    <row r="55" spans="1:17" x14ac:dyDescent="0.2">
      <c r="A55" s="422">
        <v>60</v>
      </c>
      <c r="B55" s="229"/>
      <c r="C55" s="229"/>
      <c r="D55" s="229"/>
      <c r="E55" s="229"/>
      <c r="F55" s="230"/>
      <c r="G55" s="344"/>
      <c r="H55" s="231"/>
      <c r="I55" s="232"/>
      <c r="O55" s="236"/>
      <c r="P55" s="235"/>
      <c r="Q55" s="233"/>
    </row>
    <row r="56" spans="1:17" x14ac:dyDescent="0.2">
      <c r="A56" s="422">
        <v>61</v>
      </c>
      <c r="B56" s="229"/>
      <c r="C56" s="229"/>
      <c r="D56" s="229"/>
      <c r="E56" s="229"/>
      <c r="F56" s="230"/>
      <c r="G56" s="344"/>
      <c r="H56" s="231"/>
      <c r="I56" s="232"/>
      <c r="O56" s="236"/>
      <c r="P56" s="235"/>
      <c r="Q56" s="233"/>
    </row>
    <row r="57" spans="1:17" x14ac:dyDescent="0.2">
      <c r="A57" s="422">
        <v>62</v>
      </c>
      <c r="B57" s="229"/>
      <c r="C57" s="229"/>
      <c r="D57" s="229"/>
      <c r="E57" s="229"/>
      <c r="F57" s="230"/>
      <c r="G57" s="344"/>
      <c r="H57" s="231"/>
      <c r="I57" s="232"/>
      <c r="O57" s="236"/>
      <c r="P57" s="235"/>
      <c r="Q57" s="233"/>
    </row>
    <row r="58" spans="1:17" x14ac:dyDescent="0.2">
      <c r="A58" s="422">
        <v>63</v>
      </c>
      <c r="B58" s="229"/>
      <c r="C58" s="229"/>
      <c r="D58" s="229"/>
      <c r="E58" s="229"/>
      <c r="F58" s="230"/>
      <c r="G58" s="344"/>
      <c r="H58" s="231"/>
      <c r="I58" s="232"/>
      <c r="O58" s="236"/>
      <c r="P58" s="235"/>
      <c r="Q58" s="233"/>
    </row>
    <row r="59" spans="1:17" x14ac:dyDescent="0.2">
      <c r="A59" s="422">
        <v>64</v>
      </c>
      <c r="B59" s="229"/>
      <c r="C59" s="229"/>
      <c r="D59" s="229"/>
      <c r="E59" s="229"/>
      <c r="F59" s="230"/>
      <c r="G59" s="344"/>
      <c r="H59" s="231"/>
      <c r="I59" s="232"/>
      <c r="O59" s="236"/>
      <c r="P59" s="235"/>
      <c r="Q59" s="233"/>
    </row>
    <row r="60" spans="1:17" x14ac:dyDescent="0.2">
      <c r="A60" s="422">
        <v>65</v>
      </c>
      <c r="B60" s="229"/>
      <c r="C60" s="229"/>
      <c r="D60" s="229"/>
      <c r="E60" s="229"/>
      <c r="F60" s="230"/>
      <c r="G60" s="344"/>
      <c r="H60" s="231"/>
      <c r="I60" s="232"/>
      <c r="O60" s="236"/>
      <c r="P60" s="235"/>
      <c r="Q60" s="233"/>
    </row>
    <row r="61" spans="1:17" x14ac:dyDescent="0.2">
      <c r="A61" s="422">
        <v>66</v>
      </c>
      <c r="B61" s="229"/>
      <c r="C61" s="229"/>
      <c r="D61" s="229"/>
      <c r="E61" s="229"/>
      <c r="F61" s="230"/>
      <c r="G61" s="344"/>
      <c r="H61" s="231"/>
      <c r="I61" s="232"/>
      <c r="O61" s="236"/>
      <c r="P61" s="235"/>
      <c r="Q61" s="233"/>
    </row>
    <row r="62" spans="1:17" x14ac:dyDescent="0.2">
      <c r="A62" s="422">
        <v>67</v>
      </c>
      <c r="B62" s="229"/>
      <c r="C62" s="229"/>
      <c r="D62" s="229"/>
      <c r="E62" s="229"/>
      <c r="F62" s="230"/>
      <c r="G62" s="344"/>
      <c r="H62" s="231"/>
      <c r="I62" s="232"/>
      <c r="O62" s="236"/>
      <c r="P62" s="235"/>
      <c r="Q62" s="233"/>
    </row>
    <row r="63" spans="1:17" x14ac:dyDescent="0.2">
      <c r="A63" s="422">
        <v>68</v>
      </c>
      <c r="B63" s="229"/>
      <c r="C63" s="229"/>
      <c r="D63" s="229"/>
      <c r="E63" s="229"/>
      <c r="F63" s="230"/>
      <c r="G63" s="344"/>
      <c r="H63" s="231"/>
      <c r="I63" s="232"/>
      <c r="O63" s="236"/>
      <c r="P63" s="235"/>
      <c r="Q63" s="233"/>
    </row>
    <row r="64" spans="1:17" x14ac:dyDescent="0.2">
      <c r="A64" s="422">
        <v>69</v>
      </c>
      <c r="B64" s="229"/>
      <c r="C64" s="229"/>
      <c r="D64" s="229"/>
      <c r="E64" s="229"/>
      <c r="F64" s="230"/>
      <c r="G64" s="344"/>
      <c r="H64" s="231"/>
      <c r="I64" s="232"/>
      <c r="O64" s="236"/>
      <c r="P64" s="235"/>
      <c r="Q64" s="233"/>
    </row>
    <row r="65" spans="1:17" x14ac:dyDescent="0.2">
      <c r="A65" s="422">
        <v>70</v>
      </c>
      <c r="B65" s="229"/>
      <c r="C65" s="229"/>
      <c r="D65" s="229"/>
      <c r="E65" s="229"/>
      <c r="F65" s="230"/>
      <c r="G65" s="344"/>
      <c r="H65" s="231"/>
      <c r="I65" s="232"/>
      <c r="O65" s="236"/>
      <c r="P65" s="235"/>
      <c r="Q65" s="233"/>
    </row>
    <row r="66" spans="1:17" x14ac:dyDescent="0.2">
      <c r="A66" s="422">
        <v>71</v>
      </c>
      <c r="B66" s="229"/>
      <c r="C66" s="229"/>
      <c r="D66" s="229"/>
      <c r="E66" s="229"/>
      <c r="F66" s="230"/>
      <c r="G66" s="344"/>
      <c r="H66" s="231"/>
      <c r="I66" s="232"/>
      <c r="O66" s="236"/>
      <c r="P66" s="235"/>
      <c r="Q66" s="233"/>
    </row>
    <row r="67" spans="1:17" x14ac:dyDescent="0.2">
      <c r="A67" s="422">
        <v>72</v>
      </c>
      <c r="B67" s="229"/>
      <c r="C67" s="229"/>
      <c r="D67" s="229"/>
      <c r="E67" s="229"/>
      <c r="F67" s="230"/>
      <c r="G67" s="344"/>
      <c r="H67" s="231"/>
      <c r="I67" s="232"/>
      <c r="O67" s="236"/>
      <c r="P67" s="235"/>
      <c r="Q67" s="233"/>
    </row>
    <row r="68" spans="1:17" x14ac:dyDescent="0.2">
      <c r="A68" s="422">
        <v>73</v>
      </c>
      <c r="B68" s="229"/>
      <c r="C68" s="229"/>
      <c r="D68" s="229"/>
      <c r="E68" s="229"/>
      <c r="F68" s="230"/>
      <c r="G68" s="344"/>
      <c r="H68" s="231"/>
      <c r="I68" s="232"/>
      <c r="O68" s="236"/>
      <c r="P68" s="235"/>
      <c r="Q68" s="233"/>
    </row>
    <row r="69" spans="1:17" x14ac:dyDescent="0.2">
      <c r="A69" s="422">
        <v>74</v>
      </c>
      <c r="B69" s="229"/>
      <c r="C69" s="229"/>
      <c r="D69" s="229"/>
      <c r="E69" s="229"/>
      <c r="F69" s="230"/>
      <c r="G69" s="344"/>
      <c r="H69" s="231"/>
      <c r="I69" s="232"/>
      <c r="O69" s="236"/>
      <c r="P69" s="235"/>
      <c r="Q69" s="233"/>
    </row>
    <row r="70" spans="1:17" x14ac:dyDescent="0.2">
      <c r="A70" s="422">
        <v>75</v>
      </c>
      <c r="B70" s="229"/>
      <c r="C70" s="229"/>
      <c r="D70" s="229"/>
      <c r="E70" s="229"/>
      <c r="F70" s="230"/>
      <c r="G70" s="344"/>
      <c r="H70" s="231"/>
      <c r="I70" s="232"/>
    </row>
    <row r="71" spans="1:17" x14ac:dyDescent="0.2">
      <c r="A71" s="422">
        <v>76</v>
      </c>
      <c r="B71" s="229"/>
      <c r="C71" s="229"/>
      <c r="D71" s="229"/>
      <c r="E71" s="229"/>
      <c r="F71" s="230"/>
      <c r="G71" s="344"/>
      <c r="H71" s="231"/>
      <c r="I71" s="232"/>
    </row>
    <row r="72" spans="1:17" x14ac:dyDescent="0.2">
      <c r="A72" s="422">
        <v>77</v>
      </c>
      <c r="B72" s="229"/>
      <c r="C72" s="229"/>
      <c r="D72" s="229"/>
      <c r="E72" s="229"/>
      <c r="F72" s="230"/>
      <c r="G72" s="344"/>
      <c r="H72" s="231"/>
      <c r="I72" s="232"/>
    </row>
    <row r="73" spans="1:17" x14ac:dyDescent="0.2">
      <c r="A73" s="422">
        <v>78</v>
      </c>
      <c r="B73" s="229"/>
      <c r="C73" s="229"/>
      <c r="D73" s="229"/>
      <c r="E73" s="229"/>
      <c r="F73" s="230"/>
      <c r="G73" s="344"/>
      <c r="H73" s="231"/>
      <c r="I73" s="232"/>
    </row>
    <row r="74" spans="1:17" x14ac:dyDescent="0.2">
      <c r="A74" s="422">
        <v>79</v>
      </c>
      <c r="B74" s="229"/>
      <c r="C74" s="229"/>
      <c r="D74" s="229"/>
      <c r="E74" s="229"/>
      <c r="F74" s="230"/>
      <c r="G74" s="344"/>
      <c r="H74" s="231"/>
      <c r="I74" s="232"/>
    </row>
    <row r="75" spans="1:17" x14ac:dyDescent="0.2">
      <c r="A75" s="422">
        <v>80</v>
      </c>
      <c r="B75" s="229"/>
      <c r="C75" s="229"/>
      <c r="D75" s="229"/>
      <c r="E75" s="229"/>
      <c r="F75" s="230"/>
      <c r="G75" s="344"/>
      <c r="H75" s="231"/>
      <c r="I75" s="232"/>
    </row>
    <row r="76" spans="1:17" x14ac:dyDescent="0.2">
      <c r="A76" s="422">
        <v>81</v>
      </c>
      <c r="B76" s="229"/>
      <c r="C76" s="229"/>
      <c r="D76" s="229"/>
      <c r="E76" s="229"/>
      <c r="F76" s="230"/>
      <c r="G76" s="344"/>
      <c r="H76" s="231"/>
      <c r="I76" s="232"/>
    </row>
    <row r="77" spans="1:17" x14ac:dyDescent="0.2">
      <c r="A77" s="422">
        <v>82</v>
      </c>
      <c r="B77" s="229"/>
      <c r="C77" s="229"/>
      <c r="D77" s="229"/>
      <c r="E77" s="229"/>
      <c r="F77" s="230"/>
      <c r="G77" s="344"/>
      <c r="H77" s="231"/>
      <c r="I77" s="232"/>
    </row>
    <row r="78" spans="1:17" x14ac:dyDescent="0.2">
      <c r="A78" s="422">
        <v>83</v>
      </c>
      <c r="B78" s="229"/>
      <c r="C78" s="229"/>
      <c r="D78" s="229"/>
      <c r="E78" s="229"/>
      <c r="F78" s="230"/>
      <c r="G78" s="344"/>
      <c r="H78" s="231"/>
      <c r="I78" s="232"/>
    </row>
    <row r="79" spans="1:17" x14ac:dyDescent="0.2">
      <c r="A79" s="422">
        <v>84</v>
      </c>
      <c r="B79" s="229"/>
      <c r="C79" s="229"/>
      <c r="D79" s="229"/>
      <c r="E79" s="229"/>
      <c r="F79" s="230"/>
      <c r="G79" s="344"/>
      <c r="H79" s="231"/>
      <c r="I79" s="232"/>
    </row>
    <row r="80" spans="1:17" x14ac:dyDescent="0.2">
      <c r="A80" s="422">
        <v>85</v>
      </c>
      <c r="B80" s="229"/>
      <c r="C80" s="229"/>
      <c r="D80" s="229"/>
      <c r="E80" s="229"/>
      <c r="F80" s="230"/>
      <c r="G80" s="344"/>
      <c r="H80" s="231"/>
      <c r="I80" s="232"/>
    </row>
    <row r="81" spans="1:9" x14ac:dyDescent="0.2">
      <c r="A81" s="422">
        <v>86</v>
      </c>
      <c r="B81" s="229"/>
      <c r="C81" s="229"/>
      <c r="D81" s="229"/>
      <c r="E81" s="229"/>
      <c r="F81" s="230"/>
      <c r="G81" s="344"/>
      <c r="H81" s="231"/>
      <c r="I81" s="232"/>
    </row>
    <row r="82" spans="1:9" x14ac:dyDescent="0.2">
      <c r="A82" s="422">
        <v>87</v>
      </c>
      <c r="B82" s="229"/>
      <c r="C82" s="229"/>
      <c r="D82" s="229"/>
      <c r="E82" s="229"/>
      <c r="F82" s="230"/>
      <c r="G82" s="344"/>
      <c r="H82" s="231"/>
      <c r="I82" s="232"/>
    </row>
    <row r="83" spans="1:9" x14ac:dyDescent="0.2">
      <c r="A83" s="422">
        <v>88</v>
      </c>
      <c r="B83" s="229"/>
      <c r="C83" s="229"/>
      <c r="D83" s="229"/>
      <c r="E83" s="229"/>
      <c r="F83" s="230"/>
      <c r="G83" s="344"/>
      <c r="H83" s="231"/>
      <c r="I83" s="232"/>
    </row>
    <row r="84" spans="1:9" x14ac:dyDescent="0.2">
      <c r="A84" s="422">
        <v>89</v>
      </c>
      <c r="B84" s="229"/>
      <c r="C84" s="229"/>
      <c r="D84" s="229"/>
      <c r="E84" s="229"/>
      <c r="F84" s="230"/>
      <c r="G84" s="344"/>
      <c r="H84" s="231"/>
      <c r="I84" s="232"/>
    </row>
    <row r="85" spans="1:9" ht="13.5" thickBot="1" x14ac:dyDescent="0.25">
      <c r="A85" s="423">
        <v>90</v>
      </c>
      <c r="B85" s="347"/>
      <c r="C85" s="347"/>
      <c r="D85" s="347"/>
      <c r="E85" s="347"/>
      <c r="F85" s="237"/>
      <c r="G85" s="345"/>
      <c r="H85" s="238"/>
      <c r="I85" s="398"/>
    </row>
  </sheetData>
  <sheetProtection password="CECC" sheet="1" objects="1" scenarios="1"/>
  <mergeCells count="11">
    <mergeCell ref="A1:I1"/>
    <mergeCell ref="A2:I2"/>
    <mergeCell ref="A9:A10"/>
    <mergeCell ref="B9:B10"/>
    <mergeCell ref="C9:C10"/>
    <mergeCell ref="D9:D10"/>
    <mergeCell ref="E9:E10"/>
    <mergeCell ref="F9:F10"/>
    <mergeCell ref="G9:G10"/>
    <mergeCell ref="H9:H10"/>
    <mergeCell ref="I9:I10"/>
  </mergeCells>
  <printOptions horizontalCentered="1"/>
  <pageMargins left="0.55118110236220474" right="0.55118110236220474" top="0.70866141732283472" bottom="0.31496062992125984" header="0.31496062992125984" footer="0.31496062992125984"/>
  <pageSetup paperSize="9" scale="53" orientation="portrait" verticalDpi="300" r:id="rId1"/>
  <headerFooter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18</vt:i4>
      </vt:variant>
      <vt:variant>
        <vt:lpstr>Graphiques</vt:lpstr>
      </vt:variant>
      <vt:variant>
        <vt:i4>4</vt:i4>
      </vt:variant>
      <vt:variant>
        <vt:lpstr>Plages nommées</vt:lpstr>
      </vt:variant>
      <vt:variant>
        <vt:i4>12</vt:i4>
      </vt:variant>
    </vt:vector>
  </HeadingPairs>
  <TitlesOfParts>
    <vt:vector size="34" baseType="lpstr">
      <vt:lpstr>Calcul pour synthèse</vt:lpstr>
      <vt:lpstr>How to use</vt:lpstr>
      <vt:lpstr>Data</vt:lpstr>
      <vt:lpstr>Traduction</vt:lpstr>
      <vt:lpstr>Titre graphique</vt:lpstr>
      <vt:lpstr>Growing data-Input</vt:lpstr>
      <vt:lpstr>Rearing Data-Table</vt:lpstr>
      <vt:lpstr>Production Data-Daily Input</vt:lpstr>
      <vt:lpstr>Production Data-Weekly input</vt:lpstr>
      <vt:lpstr>Production Data-Table</vt:lpstr>
      <vt:lpstr>Synthesis</vt:lpstr>
      <vt:lpstr>DG Rearing</vt:lpstr>
      <vt:lpstr>DG Prod</vt:lpstr>
      <vt:lpstr>Standard</vt:lpstr>
      <vt:lpstr>Standard NW Cl Ca</vt:lpstr>
      <vt:lpstr>Standard NW Li Ca</vt:lpstr>
      <vt:lpstr>Standard NW Cl Alt</vt:lpstr>
      <vt:lpstr>Standard NW Li Alt</vt:lpstr>
      <vt:lpstr>Growing curve</vt:lpstr>
      <vt:lpstr>Production graph</vt:lpstr>
      <vt:lpstr>Second eggs graph</vt:lpstr>
      <vt:lpstr>Eggmass graph</vt:lpstr>
      <vt:lpstr>'Growing data-Input'!Impression_des_titres</vt:lpstr>
      <vt:lpstr>'Production Data-Daily Input'!Impression_des_titres</vt:lpstr>
      <vt:lpstr>'Production Data-Table'!Impression_des_titres</vt:lpstr>
      <vt:lpstr>Data!Zone_d_impression</vt:lpstr>
      <vt:lpstr>'Growing data-Input'!Zone_d_impression</vt:lpstr>
      <vt:lpstr>'Production Data-Weekly input'!Zone_d_impression</vt:lpstr>
      <vt:lpstr>'Rearing Data-Table'!Zone_d_impression</vt:lpstr>
      <vt:lpstr>Standard!Zone_d_impression</vt:lpstr>
      <vt:lpstr>'Standard NW Cl Alt'!Zone_d_impression</vt:lpstr>
      <vt:lpstr>'Standard NW Cl Ca'!Zone_d_impression</vt:lpstr>
      <vt:lpstr>'Standard NW Li Alt'!Zone_d_impression</vt:lpstr>
      <vt:lpstr>'Standard NW Li Ca'!Zone_d_impression</vt:lpstr>
    </vt:vector>
  </TitlesOfParts>
  <Company>Hubbard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Le Helloco</dc:creator>
  <cp:lastModifiedBy>Guenael GUILLAUME</cp:lastModifiedBy>
  <cp:lastPrinted>2015-07-21T09:16:50Z</cp:lastPrinted>
  <dcterms:created xsi:type="dcterms:W3CDTF">2009-01-21T18:13:58Z</dcterms:created>
  <dcterms:modified xsi:type="dcterms:W3CDTF">2015-07-21T09:21:51Z</dcterms:modified>
</cp:coreProperties>
</file>